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20100" windowHeight="9030"/>
  </bookViews>
  <sheets>
    <sheet name="Pos m Pos b" sheetId="1" r:id="rId1"/>
    <sheet name="Pos m Neg b" sheetId="5" r:id="rId2"/>
    <sheet name="Neg m Pos b" sheetId="3" r:id="rId3"/>
    <sheet name="Neg m Neg b" sheetId="4" r:id="rId4"/>
    <sheet name="Manual" sheetId="6" r:id="rId5"/>
  </sheets>
  <calcPr calcId="125725"/>
</workbook>
</file>

<file path=xl/calcChain.xml><?xml version="1.0" encoding="utf-8"?>
<calcChain xmlns="http://schemas.openxmlformats.org/spreadsheetml/2006/main">
  <c r="C8" i="4"/>
  <c r="C7"/>
  <c r="C6"/>
  <c r="C5"/>
  <c r="C4"/>
  <c r="C3"/>
  <c r="C8" i="1"/>
  <c r="C26" s="1"/>
  <c r="C7"/>
  <c r="D26" s="1"/>
  <c r="C6"/>
  <c r="C5"/>
  <c r="C4"/>
  <c r="C3"/>
  <c r="I9" i="3"/>
  <c r="C8" i="5"/>
  <c r="C7"/>
  <c r="C6"/>
  <c r="C5"/>
  <c r="C4"/>
  <c r="C3"/>
  <c r="C8" i="3"/>
  <c r="C7"/>
  <c r="C6"/>
  <c r="C5"/>
  <c r="C4"/>
  <c r="C3"/>
  <c r="C27" i="5"/>
  <c r="C24"/>
  <c r="Z93" i="6"/>
  <c r="V93"/>
  <c r="Z83"/>
  <c r="X83"/>
  <c r="V83"/>
  <c r="Z74"/>
  <c r="V74"/>
  <c r="Z65"/>
  <c r="V65"/>
  <c r="C20" i="4"/>
  <c r="M9"/>
  <c r="D16"/>
  <c r="F16" s="1"/>
  <c r="Z92" i="6"/>
  <c r="V92"/>
  <c r="Z91"/>
  <c r="X91"/>
  <c r="V91"/>
  <c r="Z90"/>
  <c r="V90"/>
  <c r="Z82"/>
  <c r="X82"/>
  <c r="V82"/>
  <c r="Z81"/>
  <c r="X81"/>
  <c r="V81"/>
  <c r="Z80"/>
  <c r="X80"/>
  <c r="V80"/>
  <c r="Z79"/>
  <c r="X79"/>
  <c r="V79"/>
  <c r="F15" i="4"/>
  <c r="X92" i="6" s="1"/>
  <c r="F14" i="4"/>
  <c r="F16" i="3"/>
  <c r="F15"/>
  <c r="F14"/>
  <c r="F13"/>
  <c r="F14" i="1"/>
  <c r="X62" i="6" s="1"/>
  <c r="F13" i="1"/>
  <c r="X61" i="6" s="1"/>
  <c r="F17" i="5"/>
  <c r="X73" i="6" s="1"/>
  <c r="F16" i="5"/>
  <c r="X72" i="6" s="1"/>
  <c r="F15" i="5"/>
  <c r="F14"/>
  <c r="X70" i="6" s="1"/>
  <c r="F19" i="5"/>
  <c r="X71" i="6" s="1"/>
  <c r="Z71"/>
  <c r="V71"/>
  <c r="V64"/>
  <c r="V63"/>
  <c r="V62"/>
  <c r="V61"/>
  <c r="Z73"/>
  <c r="V73"/>
  <c r="Z72"/>
  <c r="V72"/>
  <c r="Z70"/>
  <c r="V70"/>
  <c r="Z69"/>
  <c r="V69"/>
  <c r="Z64"/>
  <c r="Z63"/>
  <c r="Z62"/>
  <c r="Z61"/>
  <c r="A85"/>
  <c r="A76"/>
  <c r="A67"/>
  <c r="A58"/>
  <c r="G70"/>
  <c r="F70"/>
  <c r="E70"/>
  <c r="D70"/>
  <c r="H71"/>
  <c r="G71"/>
  <c r="F71"/>
  <c r="E71"/>
  <c r="E10"/>
  <c r="F10"/>
  <c r="C10"/>
  <c r="D10"/>
  <c r="B93"/>
  <c r="B92"/>
  <c r="B91"/>
  <c r="B90"/>
  <c r="B89"/>
  <c r="B88"/>
  <c r="B84"/>
  <c r="B83"/>
  <c r="B82"/>
  <c r="B81"/>
  <c r="B80"/>
  <c r="B79"/>
  <c r="B75"/>
  <c r="B74"/>
  <c r="B73"/>
  <c r="B72"/>
  <c r="B71"/>
  <c r="B70"/>
  <c r="B66"/>
  <c r="E12" s="1"/>
  <c r="B65"/>
  <c r="F12" s="1"/>
  <c r="B64"/>
  <c r="C12" s="1"/>
  <c r="B63"/>
  <c r="D12" s="1"/>
  <c r="B62"/>
  <c r="B61"/>
  <c r="C49"/>
  <c r="C48"/>
  <c r="D13" i="4"/>
  <c r="C23" s="1"/>
  <c r="E23" s="1"/>
  <c r="C23" i="1"/>
  <c r="E23" s="1"/>
  <c r="G23" s="1"/>
  <c r="E22"/>
  <c r="G22" s="1"/>
  <c r="C20"/>
  <c r="M9" i="3"/>
  <c r="C24"/>
  <c r="C21"/>
  <c r="D14"/>
  <c r="D13"/>
  <c r="M9" i="1"/>
  <c r="G26" i="5"/>
  <c r="E26"/>
  <c r="D20"/>
  <c r="B12" s="1"/>
  <c r="D14"/>
  <c r="D13"/>
  <c r="M9" s="1"/>
  <c r="F16" i="1"/>
  <c r="X64" i="6" s="1"/>
  <c r="F15" i="1"/>
  <c r="X63" i="6" s="1"/>
  <c r="D14" i="1"/>
  <c r="D13"/>
  <c r="E22" i="4"/>
  <c r="G22" s="1"/>
  <c r="F13" i="5" l="1"/>
  <c r="X69" i="6" s="1"/>
  <c r="G23" i="4"/>
  <c r="X93" i="6"/>
  <c r="F13" i="4"/>
  <c r="X90" i="6" s="1"/>
  <c r="X65"/>
  <c r="D49"/>
  <c r="G8"/>
  <c r="D48"/>
  <c r="G23" i="3"/>
  <c r="E23"/>
  <c r="D28"/>
  <c r="C28"/>
  <c r="D27"/>
  <c r="C27"/>
  <c r="E21"/>
  <c r="G21" s="1"/>
  <c r="E20"/>
  <c r="G20" s="1"/>
  <c r="F10"/>
  <c r="G27" s="1"/>
  <c r="E20" i="4"/>
  <c r="G20" s="1"/>
  <c r="D26"/>
  <c r="C26"/>
  <c r="D25"/>
  <c r="C25"/>
  <c r="E19"/>
  <c r="G19" s="1"/>
  <c r="F10"/>
  <c r="D30" i="5"/>
  <c r="C30"/>
  <c r="D29"/>
  <c r="C29"/>
  <c r="E23"/>
  <c r="G23" s="1"/>
  <c r="F10"/>
  <c r="D25" i="1"/>
  <c r="C25"/>
  <c r="I9" i="4" l="1"/>
  <c r="G29" i="5"/>
  <c r="I9"/>
  <c r="H10" i="3"/>
  <c r="C15" s="1"/>
  <c r="F11"/>
  <c r="D29" s="1"/>
  <c r="F11" i="4"/>
  <c r="D27" s="1"/>
  <c r="G12" i="6"/>
  <c r="D9" s="1"/>
  <c r="G9"/>
  <c r="H12" s="1"/>
  <c r="D43"/>
  <c r="E43" s="1"/>
  <c r="H10" i="4"/>
  <c r="C14" s="1"/>
  <c r="G25"/>
  <c r="H11" i="3"/>
  <c r="C16" s="1"/>
  <c r="F11" i="5"/>
  <c r="H10"/>
  <c r="C15"/>
  <c r="G28" i="3" l="1"/>
  <c r="F9"/>
  <c r="D38" i="6" s="1"/>
  <c r="I15" i="3"/>
  <c r="I14"/>
  <c r="C29"/>
  <c r="C27" i="4"/>
  <c r="G13" i="6"/>
  <c r="E13"/>
  <c r="H13"/>
  <c r="D47"/>
  <c r="E47" s="1"/>
  <c r="M54" s="1"/>
  <c r="H8" s="1"/>
  <c r="F9" i="5"/>
  <c r="D37" i="6" s="1"/>
  <c r="G30" i="5"/>
  <c r="H11"/>
  <c r="C31"/>
  <c r="D31"/>
  <c r="I14"/>
  <c r="I15"/>
  <c r="E24" i="3"/>
  <c r="G24" s="1"/>
  <c r="C16" i="5"/>
  <c r="G26" i="4" l="1"/>
  <c r="I15"/>
  <c r="I14"/>
  <c r="H11"/>
  <c r="C15" s="1"/>
  <c r="C16" s="1"/>
  <c r="E27" i="5"/>
  <c r="F9" i="4"/>
  <c r="D39" i="6" s="1"/>
  <c r="C17" i="5"/>
  <c r="E24"/>
  <c r="G24" s="1"/>
  <c r="G27" l="1"/>
  <c r="X74" i="6"/>
  <c r="C18" i="5"/>
  <c r="D18" s="1"/>
  <c r="F18" s="1"/>
  <c r="C19" l="1"/>
  <c r="E19" i="1"/>
  <c r="G19" s="1"/>
  <c r="F10"/>
  <c r="G25" l="1"/>
  <c r="I9"/>
  <c r="E20"/>
  <c r="G20" s="1"/>
  <c r="H10"/>
  <c r="C20" i="5"/>
  <c r="F11" i="1"/>
  <c r="C27" s="1"/>
  <c r="D27" l="1"/>
  <c r="H11"/>
  <c r="G26"/>
  <c r="I14"/>
  <c r="I15"/>
  <c r="F9"/>
  <c r="D36" i="6" s="1"/>
  <c r="C15" i="1"/>
  <c r="C16" l="1"/>
</calcChain>
</file>

<file path=xl/sharedStrings.xml><?xml version="1.0" encoding="utf-8"?>
<sst xmlns="http://schemas.openxmlformats.org/spreadsheetml/2006/main" count="595" uniqueCount="191">
  <si>
    <t>The voltage level of a stable reference =</t>
  </si>
  <si>
    <t>Vref =</t>
  </si>
  <si>
    <t>Volt</t>
  </si>
  <si>
    <t>The full-scale output voltage =</t>
  </si>
  <si>
    <t>VoutFS =</t>
  </si>
  <si>
    <t>The zero-scale output voltage =</t>
  </si>
  <si>
    <t>VoutZS =</t>
  </si>
  <si>
    <t>The full-scale input voltage =</t>
  </si>
  <si>
    <t>VinFS =</t>
  </si>
  <si>
    <t>The zero-scale input voltage =</t>
  </si>
  <si>
    <t>VinZS =</t>
  </si>
  <si>
    <t>m = the gain of the stage</t>
  </si>
  <si>
    <t>m =</t>
  </si>
  <si>
    <t>b = the offset of the gain</t>
  </si>
  <si>
    <t>b =</t>
  </si>
  <si>
    <t>(VoutFS - VoutZS) / (VinFS - VinZS) =</t>
  </si>
  <si>
    <t>VoutZS - (m * VinZS) =</t>
  </si>
  <si>
    <t>Choose R1 =</t>
  </si>
  <si>
    <t>R2 =</t>
  </si>
  <si>
    <t>R1 =</t>
  </si>
  <si>
    <t>Select Rf from the data sheet =</t>
  </si>
  <si>
    <t>Rf =</t>
  </si>
  <si>
    <t>Rg =</t>
  </si>
  <si>
    <t>Hz</t>
  </si>
  <si>
    <t>uF</t>
  </si>
  <si>
    <t>nF</t>
  </si>
  <si>
    <t>pF</t>
  </si>
  <si>
    <t>kHz</t>
  </si>
  <si>
    <t>MHz</t>
  </si>
  <si>
    <t>mV</t>
  </si>
  <si>
    <t>Calculate R2 = Vref*R1*m/b =</t>
  </si>
  <si>
    <t>Calculate Rg = (R2*Rf)/(m*(R1+R2)-R2) =</t>
  </si>
  <si>
    <t>Co can be determined by = 1/(2*phi*R1*fo) =</t>
  </si>
  <si>
    <t>Co =</t>
  </si>
  <si>
    <t>Rollof frequency fo at Vin</t>
  </si>
  <si>
    <t>Straight line = Y = m * X + b = Vout = m * Vin + b</t>
  </si>
  <si>
    <t>Vin</t>
  </si>
  <si>
    <t>walter</t>
  </si>
  <si>
    <t>Ω</t>
  </si>
  <si>
    <t>kΩ</t>
  </si>
  <si>
    <t>Calculate Rg = Rf/(m-1) =</t>
  </si>
  <si>
    <t>Choose Rg2 = Rg/10 =</t>
  </si>
  <si>
    <t>Rg2 =</t>
  </si>
  <si>
    <t>Calculate Rg1 = Rg - Rg2 =</t>
  </si>
  <si>
    <t>Rg1 =</t>
  </si>
  <si>
    <t>Vref' =</t>
  </si>
  <si>
    <t>Calculate R1 = Rg2*( Vref - Vref')/Vref' =</t>
  </si>
  <si>
    <t>Choose Ro =</t>
  </si>
  <si>
    <t>Calculate Vref' = (|b|*Rg1)/(Rg1+Rf) =</t>
  </si>
  <si>
    <t>Co can be determined by = 1/(2*phi*Ro*fo) =</t>
  </si>
  <si>
    <t>R1||Rg2 = (R1*Rg2)/(R1+Rg2) =</t>
  </si>
  <si>
    <t>Designing Gain and Offset with Positive m and Positive b</t>
  </si>
  <si>
    <t>m=</t>
  </si>
  <si>
    <t>Resulting Values</t>
  </si>
  <si>
    <t>Designing Gain and Offset with Positive m and Negative b</t>
  </si>
  <si>
    <t>To design such a circuit, some things must be known in advance. The values in yellow cells:</t>
  </si>
  <si>
    <t>Ro =</t>
  </si>
  <si>
    <t>Positive m and Positive b</t>
  </si>
  <si>
    <t>Positive m and Negative b</t>
  </si>
  <si>
    <t>Designing Gain and Offset with Negative m and Negative b</t>
  </si>
  <si>
    <t>Negative m and Negative b</t>
  </si>
  <si>
    <t>Negative m and Negative b with filtering - Rollof frequency fo at Vin</t>
  </si>
  <si>
    <t>Positive m and Positive b with filtering - Rollof frequency fo at Vin</t>
  </si>
  <si>
    <t>Positive m and Negative b with filtering - Rollof frequency fo at Vin</t>
  </si>
  <si>
    <t>Cf =</t>
  </si>
  <si>
    <t>Calculate Rg1 = Rf/|m| =</t>
  </si>
  <si>
    <t>Calculate Rg2 = Vref*Rf/|b| =</t>
  </si>
  <si>
    <t>|m| =</t>
  </si>
  <si>
    <t>|b| =</t>
  </si>
  <si>
    <t>The voltage of the Power Supply for Op-Amp =</t>
  </si>
  <si>
    <t>Vcc =</t>
  </si>
  <si>
    <t>Straight line = Y = m * X - b = Vout = m * Vin - b</t>
  </si>
  <si>
    <t>Default values</t>
  </si>
  <si>
    <t>Designing Gain and Offset with Negative m and Positive b</t>
  </si>
  <si>
    <t>Negative m and Positive b</t>
  </si>
  <si>
    <t>Negative m and Positive b with filtering - Rollof frequency fo at Vin</t>
  </si>
  <si>
    <t>Chose R2 (same order of magnitude as Rf) =</t>
  </si>
  <si>
    <t>Calculate Rg = Rf/|m| =</t>
  </si>
  <si>
    <t>Calculate R1 = (b*R2*Rg)/(Vref*(Rf+Rg)-(b*Rg)) =</t>
  </si>
  <si>
    <t>Cf can be determined by = 1/(2*phi*Rf*fo) =</t>
  </si>
  <si>
    <t>Select Cf =</t>
  </si>
  <si>
    <t>fo can be determined by = 1/(2*phi*Rf*Cf) =</t>
  </si>
  <si>
    <t>fo =</t>
  </si>
  <si>
    <t>Select fo =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</si>
  <si>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</si>
  <si>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</si>
  <si>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Gain = 1 + (Rf/Rg) =</t>
  </si>
  <si>
    <t>DC-Coupled Non-Inverting Amplifier</t>
  </si>
  <si>
    <t>Standard</t>
  </si>
  <si>
    <t>Calculated</t>
  </si>
  <si>
    <t>Straight line = Y =( m * X) + b = Vout = (m * Vin) + b</t>
  </si>
  <si>
    <t>Vout = (m * Vin) + b</t>
  </si>
  <si>
    <t>See simulator program above
with standard resistors</t>
  </si>
  <si>
    <t>Standard values</t>
  </si>
  <si>
    <t>Select Co =</t>
  </si>
  <si>
    <t>fo can be determined by = 1/(2*phi*Ro*Co) =</t>
  </si>
  <si>
    <t>Calculate Co Rollof frequency fo at Vin</t>
  </si>
  <si>
    <t>Calculate Rollof frequency fo with Co at Vin</t>
  </si>
  <si>
    <t>With standard values</t>
  </si>
  <si>
    <t>Calculate Cf Rollof frequency fo at Vin</t>
  </si>
  <si>
    <t>Calculate Rollof frequency fo with Cf at Vin</t>
  </si>
  <si>
    <t>DC-Coupled Inverting Amplifier</t>
  </si>
  <si>
    <t>-Gain = Rf/R2</t>
  </si>
  <si>
    <t>b=</t>
  </si>
  <si>
    <t>Vout  LM324</t>
  </si>
  <si>
    <t>Approximation which assumes R1||Rg2&lt;&lt;Rg1</t>
  </si>
  <si>
    <t>fo can be determined by = 1/(2*phi*R1*Co) =</t>
  </si>
  <si>
    <t>Intermediate Values</t>
  </si>
  <si>
    <t>Vout = (m * Vin) - b</t>
  </si>
  <si>
    <t>Vout = -(m * Vin) + b</t>
  </si>
  <si>
    <t>Vout = -(m * Vin) - b</t>
  </si>
  <si>
    <t>Instruktions Manual for Designing af forstærkning og offset i en Op-Amp</t>
  </si>
  <si>
    <t>Inden brug af regnearket vil jeg komme med et godt råd, læs hjemmesiden med "Linjens Ligning"</t>
  </si>
  <si>
    <t xml:space="preserve">http://da.wikipedia.org/wiki/Linjens_ligning </t>
  </si>
  <si>
    <t>Linjens ligning er givet ved:</t>
  </si>
  <si>
    <t>eller</t>
  </si>
  <si>
    <t>Y</t>
  </si>
  <si>
    <t>X</t>
  </si>
  <si>
    <t>b</t>
  </si>
  <si>
    <t>Vin(max)</t>
  </si>
  <si>
    <t>Vout(max)</t>
  </si>
  <si>
    <t>Vout(min)</t>
  </si>
  <si>
    <t>Vin(min)</t>
  </si>
  <si>
    <t>m</t>
  </si>
  <si>
    <t>Vout</t>
  </si>
  <si>
    <t>Indsættes X=2 fås Y=0</t>
  </si>
  <si>
    <t>Indsættes X=0 fås Y=-1</t>
  </si>
  <si>
    <t>Indsættes X=2 fås Y=4</t>
  </si>
  <si>
    <t>Indsættes X=0 fås Y=-3</t>
  </si>
  <si>
    <t>Y=(X/2)-1 (-1 skæring med Y-aksen)</t>
  </si>
  <si>
    <t>Y = f(X) + b</t>
  </si>
  <si>
    <t>Skal man designe en forstærker med en given Input: Vin(min) og Vin(max) samt Vout(min) og Vout(max) anvendes formlen:</t>
  </si>
  <si>
    <r>
      <t>Y - Y</t>
    </r>
    <r>
      <rPr>
        <sz val="11"/>
        <color theme="1"/>
        <rFont val="Calibri"/>
        <family val="2"/>
      </rPr>
      <t>ₒ = a*(X - Xₒ) + b</t>
    </r>
  </si>
  <si>
    <r>
      <t>Vout(max) - Vout(min)</t>
    </r>
    <r>
      <rPr>
        <sz val="11"/>
        <color theme="1"/>
        <rFont val="Calibri"/>
        <family val="2"/>
      </rPr>
      <t xml:space="preserve"> = m*(Vin(max) - Vin(min)) + b</t>
    </r>
  </si>
  <si>
    <t>m og b beregnes efter formlerne nedenfor</t>
  </si>
  <si>
    <r>
      <t xml:space="preserve">(Vout(max) - Vout(min) / </t>
    </r>
    <r>
      <rPr>
        <sz val="11"/>
        <color theme="1"/>
        <rFont val="Calibri"/>
        <family val="2"/>
      </rPr>
      <t>(Vin(max) - Vin(min)</t>
    </r>
  </si>
  <si>
    <t>Diagrammet herunder viser resultatet af de indsatte værdier i de gule celler</t>
  </si>
  <si>
    <t>m = forstærkningen = Vout/Vin =</t>
  </si>
  <si>
    <t>Y = + -m*X + - b</t>
  </si>
  <si>
    <t>hvor X er variablen, m er hældningen for linjen og b er skæringen med Y aksen</t>
  </si>
  <si>
    <t>I regnearket er Y erstattet med Vout, m er erstattet med forstærkningen i Op-Amp og b er erstattet med offset</t>
  </si>
  <si>
    <t>b = skæring med Y aksen = Y1 - (m * X1) =</t>
  </si>
  <si>
    <t>Y = + - m*X + - b =</t>
  </si>
  <si>
    <t>en for hver form for ligningen for en ret linie. De fire ligninger ses herunder:</t>
  </si>
  <si>
    <t>y = +mx + b</t>
  </si>
  <si>
    <t>y = +mx - b</t>
  </si>
  <si>
    <t>y = −mx + b</t>
  </si>
  <si>
    <t>y = -mx - b</t>
  </si>
  <si>
    <t>Regneark:</t>
  </si>
  <si>
    <r>
      <t xml:space="preserve">m = (Vout(max) - Vout(min) / </t>
    </r>
    <r>
      <rPr>
        <sz val="11"/>
        <color theme="1"/>
        <rFont val="Calibri"/>
        <family val="2"/>
      </rPr>
      <t>(Vin(max) - Vin(min) =</t>
    </r>
  </si>
  <si>
    <t>Der er således 2 ligninger tilbage</t>
  </si>
  <si>
    <t>y =</t>
  </si>
  <si>
    <t>Y = +m*X + b</t>
  </si>
  <si>
    <t>X =</t>
  </si>
  <si>
    <t>b = Y - (m * X)</t>
  </si>
  <si>
    <t>Der er således 1 ligning tilbage</t>
  </si>
  <si>
    <t>Værdien og fortegnet på b kan bestemmes ved at sætte værdien af ​​m ind i ligning 1</t>
  </si>
  <si>
    <t>Regnearket er Password beskyttet, således er det ikke muligt at slette noget af vital betydning. Alle gule celler kan ændres med passende værdier for kredsløbet.</t>
  </si>
  <si>
    <t>Disse værdier skal indsættes i Volt, Ohm, Hz og pF. I modstands feltet beregnes modstandene i de grønne celler. De følger ikke altid standard værdier, derfor skal</t>
  </si>
  <si>
    <t>den nærmeste standard værdi for modstanden findes, og indsættes i den gule celle til højre. Alle 4 regneark har nogle default værdier, som passer til diagrammet.</t>
  </si>
  <si>
    <t>Y=(X/2)+3 (3 skæring med Y-aksen)</t>
  </si>
  <si>
    <t>Y=(X)+0 (0 skæring med Y-aksen)</t>
  </si>
  <si>
    <t>Indsættes X=7 fås Y=7</t>
  </si>
  <si>
    <t>Indsættes X=0 fås Y=-0</t>
  </si>
  <si>
    <t>Green offset = 0</t>
  </si>
  <si>
    <t>Red offset = 3</t>
  </si>
  <si>
    <t>Blue offset = -1</t>
  </si>
  <si>
    <t>Makro knap</t>
  </si>
  <si>
    <t>Ved at anvende Makro tasterne er det muligt at indsætte værdierne automatisk.</t>
  </si>
  <si>
    <t>I modellerne er der anvendt en LM324. Vcc(min) er 5V og Vcc(max) er 32V, hvilket giver Vout(min) 3,5V og Vout(max) 28V. Alle modeller er Bias til Vcc (Vcc = Vref).</t>
  </si>
  <si>
    <t>COPYRIGHT © 2014</t>
  </si>
  <si>
    <t>Visning af kurverne er ikke målfaste men blot symbolske</t>
  </si>
  <si>
    <t>Ligningen for en ret linie har fire mulige løsninger afhængigt af fortegnet for m og b. Således giver ligningerne en løsning i fire former. Fire kredsløb skal udvikles,</t>
  </si>
  <si>
    <t>De fire kredsløb ses herunder</t>
  </si>
  <si>
    <t>Vout(min) - (m * Vin(min))</t>
  </si>
  <si>
    <t>Fortegnet på m og b afgør hvilken type kredsløb, der kræves for at implementere løsningen. Designeren kan nemt bestemme værdien og tegnet på m ved den følgende ligning:</t>
  </si>
  <si>
    <r>
      <t xml:space="preserve">Prøv at indsætte v.h.a. </t>
    </r>
    <r>
      <rPr>
        <sz val="12"/>
        <color rgb="FFFF0000"/>
        <rFont val="Calibri"/>
        <family val="2"/>
        <scheme val="minor"/>
      </rPr>
      <t>Makro knap</t>
    </r>
    <r>
      <rPr>
        <sz val="11"/>
        <color theme="1"/>
        <rFont val="Calibri"/>
        <family val="2"/>
        <scheme val="minor"/>
      </rPr>
      <t xml:space="preserve"> værdierne med de farvede tal herunder i de gule celler ovenfor, så kommer der et resultat op, for hvilken model der skal bruges:</t>
    </r>
  </si>
  <si>
    <t>-Gain =-(Rf/(Rg1||Rg2)) =</t>
  </si>
  <si>
    <t>Rg1||Rg2 = (Rg1*Rg2)/(Rg1+Rg2) =</t>
  </si>
  <si>
    <t>Rg1||Rg2</t>
  </si>
  <si>
    <t>R1||Rg2</t>
  </si>
  <si>
    <t>For at bruge denne side korrekt skal ovennævnte "Sikkerhedsadvarsel" for Makroer aktiveres.  Tast "Indstillinger" og "Aktiver indholdet".</t>
  </si>
  <si>
    <t>Default Values for Input Signal = VinFS = 0,5V</t>
  </si>
  <si>
    <t>Default Values for Input Signal = VinFS = 1V</t>
  </si>
  <si>
    <t>Default Values for Output Signal = VoutFS = (VinFS*m) + b = 0,5V*10 + (-05V) = 4,5V</t>
  </si>
  <si>
    <t>Default Values for Input Signal = VinFS = 4V</t>
  </si>
  <si>
    <t>Default Values for Output Signal = VoutFS = (VinFS*m) + b = 4V*(-1) + 5V = 1V</t>
  </si>
  <si>
    <t>Default Values for Input Signal = VinFS = -0,1V</t>
  </si>
  <si>
    <t>Default Values for Output Signal = VoutFS = (VinFS*m) + b = (-0,1V*(-20) + (-1V) = 1V</t>
  </si>
  <si>
    <t>Default Values for Output Signal = VoutFS = (VinFS*m) + b = (1V*3,0303) + 0,9696V = 3,9999V</t>
  </si>
  <si>
    <t>Reg.No.1260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</si>
</sst>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00"/>
    <numFmt numFmtId="166" formatCode="#,##0.0000"/>
    <numFmt numFmtId="167" formatCode="_ * #,##0.000_ ;_ * \-#,##0.000_ ;_ * &quot;-&quot;???_ ;_ @_ "/>
    <numFmt numFmtId="168" formatCode="#,##0.00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2222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222"/>
      <name val="Arial"/>
      <family val="2"/>
    </font>
    <font>
      <sz val="11"/>
      <color rgb="FF22222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7"/>
      <name val="Arial"/>
      <family val="2"/>
    </font>
    <font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2" fontId="1" fillId="4" borderId="0" xfId="0" applyNumberFormat="1" applyFont="1" applyFill="1" applyAlignment="1" applyProtection="1">
      <protection hidden="1"/>
    </xf>
    <xf numFmtId="2" fontId="0" fillId="4" borderId="0" xfId="0" applyNumberFormat="1" applyFill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2" fontId="0" fillId="4" borderId="0" xfId="0" applyNumberFormat="1" applyFill="1" applyAlignment="1" applyProtection="1">
      <protection hidden="1"/>
    </xf>
    <xf numFmtId="0" fontId="3" fillId="4" borderId="0" xfId="0" applyFont="1" applyFill="1" applyProtection="1">
      <protection hidden="1"/>
    </xf>
    <xf numFmtId="165" fontId="0" fillId="4" borderId="0" xfId="0" applyNumberFormat="1" applyFill="1" applyProtection="1">
      <protection hidden="1"/>
    </xf>
    <xf numFmtId="2" fontId="0" fillId="4" borderId="0" xfId="0" quotePrefix="1" applyNumberFormat="1" applyFill="1" applyProtection="1"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6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2" fontId="3" fillId="4" borderId="0" xfId="0" applyNumberFormat="1" applyFont="1" applyFill="1" applyAlignment="1" applyProtection="1">
      <alignment horizontal="right"/>
      <protection hidden="1"/>
    </xf>
    <xf numFmtId="0" fontId="5" fillId="4" borderId="0" xfId="0" applyFont="1" applyFill="1" applyAlignment="1" applyProtection="1">
      <alignment horizontal="right"/>
      <protection hidden="1"/>
    </xf>
    <xf numFmtId="2" fontId="0" fillId="4" borderId="0" xfId="0" applyNumberFormat="1" applyFill="1" applyAlignment="1" applyProtection="1">
      <alignment horizontal="right"/>
      <protection hidden="1"/>
    </xf>
    <xf numFmtId="0" fontId="0" fillId="4" borderId="1" xfId="0" applyFill="1" applyBorder="1" applyProtection="1"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4" xfId="0" applyFill="1" applyBorder="1" applyProtection="1">
      <protection hidden="1"/>
    </xf>
    <xf numFmtId="0" fontId="8" fillId="4" borderId="0" xfId="0" applyFont="1" applyFill="1" applyAlignment="1" applyProtection="1">
      <alignment vertical="center"/>
      <protection hidden="1"/>
    </xf>
    <xf numFmtId="4" fontId="0" fillId="4" borderId="0" xfId="0" applyNumberFormat="1" applyFill="1" applyProtection="1">
      <protection hidden="1"/>
    </xf>
    <xf numFmtId="164" fontId="0" fillId="4" borderId="0" xfId="0" applyNumberFormat="1" applyFill="1" applyAlignment="1" applyProtection="1">
      <alignment horizontal="right"/>
      <protection hidden="1"/>
    </xf>
    <xf numFmtId="4" fontId="0" fillId="4" borderId="0" xfId="0" applyNumberFormat="1" applyFill="1" applyAlignment="1" applyProtection="1">
      <alignment horizontal="right"/>
      <protection hidden="1"/>
    </xf>
    <xf numFmtId="165" fontId="0" fillId="4" borderId="0" xfId="0" applyNumberFormat="1" applyFill="1" applyAlignment="1" applyProtection="1">
      <alignment horizontal="right"/>
      <protection hidden="1"/>
    </xf>
    <xf numFmtId="1" fontId="0" fillId="4" borderId="0" xfId="0" applyNumberFormat="1" applyFill="1" applyAlignment="1" applyProtection="1">
      <alignment horizontal="right"/>
      <protection hidden="1"/>
    </xf>
    <xf numFmtId="4" fontId="3" fillId="4" borderId="0" xfId="0" applyNumberFormat="1" applyFont="1" applyFill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3" fontId="0" fillId="4" borderId="0" xfId="0" applyNumberFormat="1" applyFill="1" applyAlignment="1" applyProtection="1">
      <alignment horizontal="right"/>
      <protection hidden="1"/>
    </xf>
    <xf numFmtId="0" fontId="10" fillId="4" borderId="0" xfId="0" applyFont="1" applyFill="1" applyBorder="1" applyAlignment="1" applyProtection="1">
      <alignment vertical="center"/>
      <protection hidden="1"/>
    </xf>
    <xf numFmtId="0" fontId="0" fillId="4" borderId="0" xfId="0" applyFill="1" applyBorder="1" applyProtection="1"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2" fontId="0" fillId="4" borderId="0" xfId="0" applyNumberFormat="1" applyFont="1" applyFill="1" applyAlignment="1" applyProtection="1">
      <alignment horizontal="left" vertical="center"/>
      <protection hidden="1"/>
    </xf>
    <xf numFmtId="2" fontId="0" fillId="4" borderId="0" xfId="0" applyNumberFormat="1" applyFill="1" applyAlignment="1" applyProtection="1">
      <alignment horizontal="left" vertical="center"/>
      <protection hidden="1"/>
    </xf>
    <xf numFmtId="2" fontId="0" fillId="4" borderId="0" xfId="0" applyNumberFormat="1" applyFont="1" applyFill="1" applyAlignment="1" applyProtection="1">
      <alignment horizontal="center" vertical="center"/>
      <protection hidden="1"/>
    </xf>
    <xf numFmtId="0" fontId="0" fillId="4" borderId="0" xfId="0" applyFont="1" applyFill="1" applyProtection="1">
      <protection hidden="1"/>
    </xf>
    <xf numFmtId="2" fontId="0" fillId="4" borderId="0" xfId="0" applyNumberFormat="1" applyFont="1" applyFill="1" applyAlignment="1" applyProtection="1">
      <protection hidden="1"/>
    </xf>
    <xf numFmtId="0" fontId="0" fillId="0" borderId="0" xfId="0" applyFont="1" applyProtection="1">
      <protection hidden="1"/>
    </xf>
    <xf numFmtId="2" fontId="11" fillId="4" borderId="0" xfId="0" applyNumberFormat="1" applyFont="1" applyFill="1" applyAlignment="1" applyProtection="1">
      <alignment horizontal="center"/>
      <protection hidden="1"/>
    </xf>
    <xf numFmtId="0" fontId="0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/>
      <protection hidden="1"/>
    </xf>
    <xf numFmtId="164" fontId="0" fillId="4" borderId="0" xfId="0" applyNumberFormat="1" applyFill="1" applyProtection="1">
      <protection hidden="1"/>
    </xf>
    <xf numFmtId="3" fontId="0" fillId="3" borderId="9" xfId="0" applyNumberFormat="1" applyFill="1" applyBorder="1" applyAlignment="1" applyProtection="1">
      <alignment horizontal="right"/>
      <protection hidden="1"/>
    </xf>
    <xf numFmtId="0" fontId="0" fillId="3" borderId="9" xfId="0" applyFill="1" applyBorder="1" applyAlignment="1" applyProtection="1">
      <alignment horizontal="right"/>
      <protection hidden="1"/>
    </xf>
    <xf numFmtId="2" fontId="5" fillId="4" borderId="0" xfId="0" applyNumberFormat="1" applyFont="1" applyFill="1" applyAlignment="1" applyProtection="1">
      <alignment horizontal="right"/>
      <protection hidden="1"/>
    </xf>
    <xf numFmtId="3" fontId="3" fillId="3" borderId="9" xfId="0" applyNumberFormat="1" applyFont="1" applyFill="1" applyBorder="1" applyAlignment="1" applyProtection="1">
      <alignment horizontal="right"/>
      <protection hidden="1"/>
    </xf>
    <xf numFmtId="166" fontId="3" fillId="3" borderId="9" xfId="0" applyNumberFormat="1" applyFont="1" applyFill="1" applyBorder="1" applyAlignment="1" applyProtection="1">
      <alignment horizontal="right"/>
      <protection hidden="1"/>
    </xf>
    <xf numFmtId="166" fontId="0" fillId="3" borderId="9" xfId="0" applyNumberFormat="1" applyFill="1" applyBorder="1" applyProtection="1">
      <protection hidden="1"/>
    </xf>
    <xf numFmtId="164" fontId="0" fillId="4" borderId="0" xfId="0" applyNumberFormat="1" applyFill="1" applyAlignment="1" applyProtection="1">
      <protection hidden="1"/>
    </xf>
    <xf numFmtId="1" fontId="0" fillId="4" borderId="0" xfId="0" applyNumberFormat="1" applyFill="1" applyAlignment="1" applyProtection="1">
      <protection hidden="1"/>
    </xf>
    <xf numFmtId="4" fontId="0" fillId="4" borderId="0" xfId="0" applyNumberFormat="1" applyFill="1" applyAlignment="1" applyProtection="1">
      <protection hidden="1"/>
    </xf>
    <xf numFmtId="165" fontId="0" fillId="4" borderId="0" xfId="0" applyNumberFormat="1" applyFill="1" applyAlignment="1" applyProtection="1">
      <protection hidden="1"/>
    </xf>
    <xf numFmtId="3" fontId="0" fillId="3" borderId="9" xfId="0" applyNumberFormat="1" applyFill="1" applyBorder="1" applyProtection="1">
      <protection hidden="1"/>
    </xf>
    <xf numFmtId="2" fontId="7" fillId="4" borderId="0" xfId="0" applyNumberFormat="1" applyFont="1" applyFill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protection hidden="1"/>
    </xf>
    <xf numFmtId="0" fontId="0" fillId="4" borderId="1" xfId="0" applyFill="1" applyBorder="1" applyAlignment="1" applyProtection="1">
      <alignment horizontal="left"/>
      <protection hidden="1"/>
    </xf>
    <xf numFmtId="2" fontId="3" fillId="4" borderId="2" xfId="0" applyNumberFormat="1" applyFont="1" applyFill="1" applyBorder="1" applyAlignment="1" applyProtection="1">
      <alignment horizontal="right"/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4" xfId="0" applyFill="1" applyBorder="1" applyAlignment="1" applyProtection="1">
      <alignment horizontal="left"/>
      <protection hidden="1"/>
    </xf>
    <xf numFmtId="2" fontId="3" fillId="4" borderId="5" xfId="0" applyNumberFormat="1" applyFont="1" applyFill="1" applyBorder="1" applyAlignment="1" applyProtection="1">
      <alignment horizontal="right"/>
      <protection hidden="1"/>
    </xf>
    <xf numFmtId="0" fontId="0" fillId="4" borderId="6" xfId="0" applyFill="1" applyBorder="1" applyAlignment="1" applyProtection="1">
      <alignment horizontal="center"/>
      <protection hidden="1"/>
    </xf>
    <xf numFmtId="2" fontId="7" fillId="4" borderId="0" xfId="0" applyNumberFormat="1" applyFont="1" applyFill="1" applyAlignment="1" applyProtection="1">
      <alignment vertical="center"/>
      <protection hidden="1"/>
    </xf>
    <xf numFmtId="165" fontId="0" fillId="4" borderId="1" xfId="0" applyNumberFormat="1" applyFill="1" applyBorder="1" applyProtection="1">
      <protection hidden="1"/>
    </xf>
    <xf numFmtId="2" fontId="3" fillId="4" borderId="0" xfId="0" applyNumberFormat="1" applyFont="1" applyFill="1" applyAlignment="1" applyProtection="1">
      <protection hidden="1"/>
    </xf>
    <xf numFmtId="2" fontId="5" fillId="4" borderId="0" xfId="0" applyNumberFormat="1" applyFont="1" applyFill="1" applyAlignment="1" applyProtection="1">
      <protection hidden="1"/>
    </xf>
    <xf numFmtId="165" fontId="3" fillId="4" borderId="0" xfId="0" applyNumberFormat="1" applyFont="1" applyFill="1" applyAlignment="1" applyProtection="1">
      <protection hidden="1"/>
    </xf>
    <xf numFmtId="0" fontId="11" fillId="4" borderId="0" xfId="0" applyFont="1" applyFill="1" applyAlignment="1" applyProtection="1">
      <alignment horizontal="left"/>
      <protection hidden="1"/>
    </xf>
    <xf numFmtId="165" fontId="0" fillId="4" borderId="4" xfId="0" applyNumberFormat="1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6" xfId="0" applyFill="1" applyBorder="1" applyProtection="1">
      <protection hidden="1"/>
    </xf>
    <xf numFmtId="167" fontId="1" fillId="4" borderId="0" xfId="0" applyNumberFormat="1" applyFont="1" applyFill="1" applyBorder="1" applyAlignment="1" applyProtection="1">
      <protection hidden="1"/>
    </xf>
    <xf numFmtId="2" fontId="1" fillId="4" borderId="0" xfId="0" applyNumberFormat="1" applyFont="1" applyFill="1" applyAlignment="1" applyProtection="1">
      <alignment vertical="center"/>
      <protection hidden="1"/>
    </xf>
    <xf numFmtId="2" fontId="0" fillId="4" borderId="0" xfId="0" applyNumberFormat="1" applyFont="1" applyFill="1" applyAlignment="1" applyProtection="1">
      <alignment vertical="center"/>
      <protection hidden="1"/>
    </xf>
    <xf numFmtId="164" fontId="0" fillId="4" borderId="0" xfId="0" applyNumberFormat="1" applyFill="1" applyAlignment="1" applyProtection="1">
      <alignment horizontal="center"/>
      <protection hidden="1"/>
    </xf>
    <xf numFmtId="0" fontId="13" fillId="4" borderId="0" xfId="1" applyFill="1" applyAlignment="1" applyProtection="1">
      <protection hidden="1"/>
    </xf>
    <xf numFmtId="0" fontId="0" fillId="4" borderId="9" xfId="0" applyFill="1" applyBorder="1" applyProtection="1">
      <protection hidden="1"/>
    </xf>
    <xf numFmtId="0" fontId="14" fillId="4" borderId="9" xfId="0" applyFont="1" applyFill="1" applyBorder="1" applyProtection="1">
      <protection hidden="1"/>
    </xf>
    <xf numFmtId="0" fontId="0" fillId="4" borderId="9" xfId="0" applyFill="1" applyBorder="1" applyAlignment="1" applyProtection="1">
      <alignment horizontal="left"/>
      <protection hidden="1"/>
    </xf>
    <xf numFmtId="0" fontId="16" fillId="4" borderId="9" xfId="0" applyFont="1" applyFill="1" applyBorder="1" applyProtection="1">
      <protection hidden="1"/>
    </xf>
    <xf numFmtId="0" fontId="3" fillId="4" borderId="9" xfId="0" applyFont="1" applyFill="1" applyBorder="1" applyProtection="1"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vertical="center"/>
      <protection hidden="1"/>
    </xf>
    <xf numFmtId="0" fontId="3" fillId="4" borderId="0" xfId="0" quotePrefix="1" applyFont="1" applyFill="1" applyBorder="1" applyAlignment="1" applyProtection="1">
      <alignment vertical="center"/>
      <protection hidden="1"/>
    </xf>
    <xf numFmtId="0" fontId="0" fillId="4" borderId="0" xfId="0" quotePrefix="1" applyFill="1" applyProtection="1">
      <protection hidden="1"/>
    </xf>
    <xf numFmtId="2" fontId="0" fillId="4" borderId="7" xfId="0" applyNumberFormat="1" applyFont="1" applyFill="1" applyBorder="1" applyAlignment="1" applyProtection="1">
      <alignment horizontal="left" vertical="center"/>
      <protection hidden="1"/>
    </xf>
    <xf numFmtId="2" fontId="0" fillId="4" borderId="0" xfId="0" applyNumberFormat="1" applyFill="1" applyBorder="1" applyAlignment="1" applyProtection="1">
      <alignment horizontal="right"/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left"/>
      <protection hidden="1"/>
    </xf>
    <xf numFmtId="0" fontId="0" fillId="4" borderId="9" xfId="0" applyFill="1" applyBorder="1" applyAlignment="1" applyProtection="1">
      <alignment horizontal="center"/>
      <protection hidden="1"/>
    </xf>
    <xf numFmtId="2" fontId="20" fillId="4" borderId="0" xfId="0" applyNumberFormat="1" applyFont="1" applyFill="1" applyBorder="1" applyAlignment="1" applyProtection="1">
      <alignment horizontal="right"/>
      <protection hidden="1"/>
    </xf>
    <xf numFmtId="2" fontId="21" fillId="4" borderId="0" xfId="0" applyNumberFormat="1" applyFont="1" applyFill="1" applyBorder="1" applyAlignment="1" applyProtection="1">
      <alignment horizontal="right"/>
      <protection hidden="1"/>
    </xf>
    <xf numFmtId="2" fontId="22" fillId="4" borderId="0" xfId="0" applyNumberFormat="1" applyFont="1" applyFill="1" applyBorder="1" applyAlignment="1" applyProtection="1">
      <alignment horizontal="right"/>
      <protection hidden="1"/>
    </xf>
    <xf numFmtId="2" fontId="23" fillId="4" borderId="5" xfId="0" applyNumberFormat="1" applyFont="1" applyFill="1" applyBorder="1" applyAlignment="1" applyProtection="1">
      <alignment horizontal="right"/>
      <protection hidden="1"/>
    </xf>
    <xf numFmtId="0" fontId="24" fillId="4" borderId="8" xfId="0" applyFont="1" applyFill="1" applyBorder="1" applyAlignment="1" applyProtection="1">
      <alignment horizontal="center"/>
      <protection hidden="1"/>
    </xf>
    <xf numFmtId="0" fontId="24" fillId="4" borderId="6" xfId="0" applyFont="1" applyFill="1" applyBorder="1" applyAlignment="1" applyProtection="1">
      <alignment horizontal="center"/>
      <protection hidden="1"/>
    </xf>
    <xf numFmtId="3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horizontal="right" vertical="center"/>
      <protection locked="0"/>
    </xf>
    <xf numFmtId="0" fontId="7" fillId="4" borderId="0" xfId="0" applyFont="1" applyFill="1" applyProtection="1">
      <protection hidden="1"/>
    </xf>
    <xf numFmtId="0" fontId="7" fillId="4" borderId="2" xfId="0" applyFont="1" applyFill="1" applyBorder="1" applyAlignment="1" applyProtection="1">
      <protection hidden="1"/>
    </xf>
    <xf numFmtId="0" fontId="17" fillId="4" borderId="2" xfId="0" applyFont="1" applyFill="1" applyBorder="1" applyAlignme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25" fillId="4" borderId="0" xfId="0" applyFont="1" applyFill="1" applyAlignment="1" applyProtection="1">
      <protection hidden="1"/>
    </xf>
    <xf numFmtId="0" fontId="27" fillId="4" borderId="9" xfId="0" applyFont="1" applyFill="1" applyBorder="1" applyProtection="1">
      <protection hidden="1"/>
    </xf>
    <xf numFmtId="0" fontId="17" fillId="4" borderId="2" xfId="0" applyFont="1" applyFill="1" applyBorder="1" applyAlignment="1" applyProtection="1">
      <alignment horizontal="center"/>
      <protection hidden="1"/>
    </xf>
    <xf numFmtId="0" fontId="17" fillId="4" borderId="0" xfId="0" quotePrefix="1" applyFont="1" applyFill="1" applyBorder="1" applyAlignment="1" applyProtection="1">
      <alignment vertical="center"/>
      <protection hidden="1"/>
    </xf>
    <xf numFmtId="0" fontId="19" fillId="4" borderId="0" xfId="0" applyFont="1" applyFill="1" applyAlignment="1" applyProtection="1"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protection hidden="1"/>
    </xf>
    <xf numFmtId="0" fontId="18" fillId="4" borderId="0" xfId="0" applyFont="1" applyFill="1" applyAlignment="1" applyProtection="1">
      <alignment horizontal="left" indent="2"/>
      <protection hidden="1"/>
    </xf>
    <xf numFmtId="2" fontId="21" fillId="2" borderId="9" xfId="0" applyNumberFormat="1" applyFont="1" applyFill="1" applyBorder="1" applyAlignment="1" applyProtection="1">
      <alignment horizontal="center" vertical="center"/>
      <protection locked="0"/>
    </xf>
    <xf numFmtId="2" fontId="20" fillId="2" borderId="9" xfId="0" applyNumberFormat="1" applyFont="1" applyFill="1" applyBorder="1" applyAlignment="1" applyProtection="1">
      <alignment horizontal="center" vertical="center"/>
      <protection locked="0"/>
    </xf>
    <xf numFmtId="2" fontId="23" fillId="2" borderId="9" xfId="0" applyNumberFormat="1" applyFont="1" applyFill="1" applyBorder="1" applyAlignment="1" applyProtection="1">
      <alignment horizontal="center" vertical="center"/>
      <protection locked="0"/>
    </xf>
    <xf numFmtId="2" fontId="2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protection hidden="1"/>
    </xf>
    <xf numFmtId="0" fontId="25" fillId="4" borderId="0" xfId="0" applyFont="1" applyFill="1" applyAlignment="1" applyProtection="1">
      <alignment horizontal="left"/>
      <protection hidden="1"/>
    </xf>
    <xf numFmtId="168" fontId="3" fillId="4" borderId="0" xfId="0" applyNumberFormat="1" applyFont="1" applyFill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2" fontId="1" fillId="2" borderId="9" xfId="0" applyNumberFormat="1" applyFont="1" applyFill="1" applyBorder="1" applyAlignment="1" applyProtection="1">
      <alignment horizontal="right" vertic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2" fontId="29" fillId="2" borderId="9" xfId="0" applyNumberFormat="1" applyFont="1" applyFill="1" applyBorder="1" applyAlignment="1" applyProtection="1">
      <alignment horizontal="right"/>
      <protection locked="0"/>
    </xf>
    <xf numFmtId="2" fontId="30" fillId="2" borderId="9" xfId="0" applyNumberFormat="1" applyFont="1" applyFill="1" applyBorder="1" applyAlignment="1" applyProtection="1">
      <alignment horizontal="right"/>
      <protection locked="0"/>
    </xf>
    <xf numFmtId="2" fontId="1" fillId="4" borderId="0" xfId="0" applyNumberFormat="1" applyFont="1" applyFill="1" applyBorder="1" applyAlignment="1" applyProtection="1">
      <alignment horizontal="right" vertical="center"/>
      <protection hidden="1"/>
    </xf>
    <xf numFmtId="2" fontId="1" fillId="4" borderId="0" xfId="0" applyNumberFormat="1" applyFont="1" applyFill="1" applyBorder="1" applyAlignment="1" applyProtection="1">
      <alignment horizontal="right"/>
      <protection hidden="1"/>
    </xf>
    <xf numFmtId="2" fontId="11" fillId="4" borderId="0" xfId="0" applyNumberFormat="1" applyFont="1" applyFill="1" applyBorder="1" applyAlignment="1" applyProtection="1">
      <alignment horizontal="right"/>
      <protection hidden="1"/>
    </xf>
    <xf numFmtId="2" fontId="29" fillId="4" borderId="0" xfId="0" applyNumberFormat="1" applyFont="1" applyFill="1" applyBorder="1" applyAlignment="1" applyProtection="1">
      <alignment horizontal="right"/>
      <protection hidden="1"/>
    </xf>
    <xf numFmtId="2" fontId="30" fillId="4" borderId="0" xfId="0" applyNumberFormat="1" applyFont="1" applyFill="1" applyBorder="1" applyAlignment="1" applyProtection="1">
      <alignment horizontal="right"/>
      <protection hidden="1"/>
    </xf>
    <xf numFmtId="2" fontId="31" fillId="4" borderId="5" xfId="0" applyNumberFormat="1" applyFont="1" applyFill="1" applyBorder="1" applyAlignment="1" applyProtection="1">
      <alignment horizontal="right"/>
      <protection hidden="1"/>
    </xf>
    <xf numFmtId="0" fontId="28" fillId="4" borderId="0" xfId="0" applyFont="1" applyFill="1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4" borderId="0" xfId="0" applyFill="1" applyAlignment="1" applyProtection="1">
      <alignment wrapText="1"/>
      <protection hidden="1"/>
    </xf>
    <xf numFmtId="167" fontId="1" fillId="4" borderId="0" xfId="0" applyNumberFormat="1" applyFont="1" applyFill="1" applyBorder="1" applyAlignment="1" applyProtection="1">
      <alignment vertical="center"/>
      <protection hidden="1"/>
    </xf>
    <xf numFmtId="0" fontId="13" fillId="4" borderId="0" xfId="1" applyFill="1" applyAlignment="1" applyProtection="1">
      <alignment vertical="center"/>
      <protection hidden="1"/>
    </xf>
    <xf numFmtId="0" fontId="32" fillId="4" borderId="0" xfId="0" applyFont="1" applyFill="1" applyAlignment="1" applyProtection="1">
      <protection hidden="1"/>
    </xf>
    <xf numFmtId="0" fontId="5" fillId="4" borderId="0" xfId="0" applyFont="1" applyFill="1" applyAlignment="1" applyProtection="1">
      <protection hidden="1"/>
    </xf>
    <xf numFmtId="0" fontId="3" fillId="4" borderId="0" xfId="0" applyFont="1" applyFill="1" applyAlignment="1" applyProtection="1">
      <protection hidden="1"/>
    </xf>
    <xf numFmtId="0" fontId="32" fillId="4" borderId="0" xfId="0" applyFont="1" applyFill="1" applyBorder="1" applyAlignment="1" applyProtection="1">
      <protection hidden="1"/>
    </xf>
    <xf numFmtId="0" fontId="3" fillId="4" borderId="0" xfId="0" applyFont="1" applyFill="1" applyBorder="1" applyAlignment="1" applyProtection="1">
      <protection hidden="1"/>
    </xf>
    <xf numFmtId="0" fontId="5" fillId="4" borderId="0" xfId="0" applyFont="1" applyFill="1" applyBorder="1" applyAlignment="1" applyProtection="1">
      <protection hidden="1"/>
    </xf>
    <xf numFmtId="3" fontId="0" fillId="2" borderId="9" xfId="0" applyNumberFormat="1" applyFill="1" applyBorder="1" applyProtection="1">
      <protection locked="0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left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center"/>
      <protection hidden="1"/>
    </xf>
    <xf numFmtId="2" fontId="0" fillId="0" borderId="0" xfId="0" applyNumberFormat="1" applyFill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24" fillId="4" borderId="0" xfId="0" applyFont="1" applyFill="1" applyAlignme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2" fontId="31" fillId="2" borderId="9" xfId="0" applyNumberFormat="1" applyFont="1" applyFill="1" applyBorder="1" applyAlignment="1" applyProtection="1">
      <alignment horizontal="right"/>
      <protection locked="0"/>
    </xf>
    <xf numFmtId="2" fontId="21" fillId="4" borderId="0" xfId="0" applyNumberFormat="1" applyFont="1" applyFill="1" applyAlignment="1" applyProtection="1">
      <alignment horizontal="center"/>
      <protection hidden="1"/>
    </xf>
    <xf numFmtId="2" fontId="21" fillId="4" borderId="9" xfId="0" applyNumberFormat="1" applyFont="1" applyFill="1" applyBorder="1" applyAlignment="1" applyProtection="1">
      <alignment horizontal="center" vertical="center"/>
      <protection hidden="1"/>
    </xf>
    <xf numFmtId="164" fontId="0" fillId="4" borderId="0" xfId="0" applyNumberFormat="1" applyFont="1" applyFill="1" applyAlignment="1" applyProtection="1">
      <alignment vertical="center"/>
      <protection hidden="1"/>
    </xf>
    <xf numFmtId="0" fontId="28" fillId="4" borderId="8" xfId="0" applyFont="1" applyFill="1" applyBorder="1" applyAlignment="1" applyProtection="1"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2" fontId="1" fillId="4" borderId="0" xfId="0" applyNumberFormat="1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center"/>
    </xf>
    <xf numFmtId="167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3" fillId="4" borderId="0" xfId="1" applyFill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0" fillId="4" borderId="0" xfId="0" quotePrefix="1" applyFont="1" applyFill="1" applyAlignment="1" applyProtection="1">
      <alignment horizontal="center" vertical="center"/>
      <protection hidden="1"/>
    </xf>
    <xf numFmtId="0" fontId="0" fillId="4" borderId="0" xfId="0" quotePrefix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2" fontId="0" fillId="4" borderId="0" xfId="0" applyNumberForma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left"/>
      <protection hidden="1"/>
    </xf>
    <xf numFmtId="0" fontId="28" fillId="4" borderId="8" xfId="0" applyFont="1" applyFill="1" applyBorder="1" applyAlignment="1" applyProtection="1">
      <alignment horizontal="center"/>
      <protection hidden="1"/>
    </xf>
    <xf numFmtId="0" fontId="3" fillId="4" borderId="0" xfId="0" quotePrefix="1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/>
      <protection hidden="1"/>
    </xf>
    <xf numFmtId="0" fontId="20" fillId="4" borderId="0" xfId="0" applyFont="1" applyFill="1" applyAlignment="1" applyProtection="1">
      <alignment horizontal="center"/>
      <protection hidden="1"/>
    </xf>
    <xf numFmtId="0" fontId="20" fillId="4" borderId="8" xfId="0" applyFont="1" applyFill="1" applyBorder="1" applyAlignment="1" applyProtection="1">
      <alignment horizontal="center"/>
      <protection hidden="1"/>
    </xf>
    <xf numFmtId="0" fontId="21" fillId="4" borderId="0" xfId="0" applyFont="1" applyFill="1" applyAlignment="1" applyProtection="1">
      <alignment horizontal="center" vertical="center"/>
      <protection hidden="1"/>
    </xf>
    <xf numFmtId="3" fontId="0" fillId="4" borderId="0" xfId="0" applyNumberFormat="1" applyFill="1" applyAlignment="1" applyProtection="1">
      <alignment horizontal="center"/>
      <protection hidden="1"/>
    </xf>
    <xf numFmtId="0" fontId="24" fillId="4" borderId="0" xfId="0" applyFont="1" applyFill="1" applyAlignment="1" applyProtection="1">
      <alignment horizontal="center"/>
      <protection hidden="1"/>
    </xf>
    <xf numFmtId="1" fontId="0" fillId="4" borderId="0" xfId="0" applyNumberFormat="1" applyFill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'Pos m Pos b'!$A$27</c:f>
          <c:strCache>
            <c:ptCount val="1"/>
            <c:pt idx="0">
              <c:v>Vout = (m * Vin) + b</c:v>
            </c:pt>
          </c:strCache>
        </c:strRef>
      </c:tx>
      <c:layout/>
    </c:title>
    <c:plotArea>
      <c:layout/>
      <c:lineChart>
        <c:grouping val="standard"/>
        <c:ser>
          <c:idx val="0"/>
          <c:order val="0"/>
          <c:tx>
            <c:strRef>
              <c:f>'Pos m Pos b'!$A$25</c:f>
              <c:strCache>
                <c:ptCount val="1"/>
                <c:pt idx="0">
                  <c:v>Vout  LM324</c:v>
                </c:pt>
              </c:strCache>
            </c:strRef>
          </c:tx>
          <c:dLbls>
            <c:showVal val="1"/>
          </c:dLbls>
          <c:trendline>
            <c:spPr>
              <a:ln>
                <a:prstDash val="sysDot"/>
              </a:ln>
            </c:spPr>
            <c:trendlineType val="linear"/>
          </c:trendline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forward val="0.5"/>
            <c:backward val="0.5"/>
          </c:trendline>
          <c:trendline>
            <c:trendlineType val="linear"/>
          </c:trendline>
          <c:cat>
            <c:numRef>
              <c:f>'Pos m Pos b'!$C$26:$D$26</c:f>
              <c:numCache>
                <c:formatCode>0.000</c:formatCode>
                <c:ptCount val="2"/>
                <c:pt idx="0">
                  <c:v>0.01</c:v>
                </c:pt>
                <c:pt idx="1">
                  <c:v>1</c:v>
                </c:pt>
              </c:numCache>
            </c:numRef>
          </c:cat>
          <c:val>
            <c:numRef>
              <c:f>'Pos m Pos b'!$C$25:$D$25</c:f>
              <c:numCache>
                <c:formatCode>0.00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</c:ser>
        <c:hiLowLines/>
        <c:marker val="1"/>
        <c:axId val="56027392"/>
        <c:axId val="65955328"/>
      </c:lineChart>
      <c:catAx>
        <c:axId val="56027392"/>
        <c:scaling>
          <c:orientation val="minMax"/>
        </c:scaling>
        <c:axPos val="b"/>
        <c:majorGridlines/>
        <c:minorGridlines/>
        <c:title>
          <c:tx>
            <c:strRef>
              <c:f>'Pos m Pos b'!$A$26</c:f>
              <c:strCache>
                <c:ptCount val="1"/>
                <c:pt idx="0">
                  <c:v>Vin</c:v>
                </c:pt>
              </c:strCache>
            </c:strRef>
          </c:tx>
          <c:layout/>
          <c:txPr>
            <a:bodyPr/>
            <a:lstStyle/>
            <a:p>
              <a:pPr>
                <a:defRPr sz="1400"/>
              </a:pPr>
              <a:endParaRPr lang="da-DK"/>
            </a:p>
          </c:txPr>
        </c:title>
        <c:numFmt formatCode="0.00" sourceLinked="0"/>
        <c:majorTickMark val="none"/>
        <c:tickLblPos val="nextTo"/>
        <c:txPr>
          <a:bodyPr/>
          <a:lstStyle/>
          <a:p>
            <a:pPr>
              <a:defRPr sz="1200"/>
            </a:pPr>
            <a:endParaRPr lang="da-DK"/>
          </a:p>
        </c:txPr>
        <c:crossAx val="65955328"/>
        <c:crosses val="autoZero"/>
        <c:auto val="1"/>
        <c:lblAlgn val="ctr"/>
        <c:lblOffset val="100"/>
      </c:catAx>
      <c:valAx>
        <c:axId val="65955328"/>
        <c:scaling>
          <c:orientation val="minMax"/>
        </c:scaling>
        <c:axPos val="l"/>
        <c:majorGridlines/>
        <c:minorGridlines/>
        <c:title>
          <c:tx>
            <c:strRef>
              <c:f>'Pos m Pos b'!$A$25</c:f>
              <c:strCache>
                <c:ptCount val="1"/>
                <c:pt idx="0">
                  <c:v>Vout  LM324</c:v>
                </c:pt>
              </c:strCache>
            </c:strRef>
          </c:tx>
          <c:layout/>
          <c:txPr>
            <a:bodyPr/>
            <a:lstStyle/>
            <a:p>
              <a:pPr>
                <a:defRPr sz="1400"/>
              </a:pPr>
              <a:endParaRPr lang="da-DK"/>
            </a:p>
          </c:txPr>
        </c:title>
        <c:numFmt formatCode="0.00" sourceLinked="0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56027392"/>
        <c:crosses val="autoZero"/>
        <c:crossBetween val="between"/>
        <c:minorUnit val="0.5"/>
      </c:valAx>
      <c:spPr>
        <a:solidFill>
          <a:schemeClr val="bg1">
            <a:lumMod val="85000"/>
          </a:schemeClr>
        </a:solidFill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/>
      <c:txPr>
        <a:bodyPr/>
        <a:lstStyle/>
        <a:p>
          <a:pPr>
            <a:defRPr sz="1400"/>
          </a:pPr>
          <a:endParaRPr lang="da-DK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'Pos m Neg b'!$A$31</c:f>
          <c:strCache>
            <c:ptCount val="1"/>
            <c:pt idx="0">
              <c:v>Vout = (m * Vin) - b</c:v>
            </c:pt>
          </c:strCache>
        </c:strRef>
      </c:tx>
    </c:title>
    <c:plotArea>
      <c:layout/>
      <c:lineChart>
        <c:grouping val="standard"/>
        <c:ser>
          <c:idx val="0"/>
          <c:order val="0"/>
          <c:tx>
            <c:strRef>
              <c:f>'Pos m Neg b'!$A$29</c:f>
              <c:strCache>
                <c:ptCount val="1"/>
                <c:pt idx="0">
                  <c:v>Vout  LM324</c:v>
                </c:pt>
              </c:strCache>
            </c:strRef>
          </c:tx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forward val="0.5"/>
            <c:backward val="0.5"/>
          </c:trendline>
          <c:cat>
            <c:numRef>
              <c:f>'Pos m Neg b'!$C$30:$D$30</c:f>
              <c:numCache>
                <c:formatCode>0.00</c:formatCode>
                <c:ptCount val="2"/>
                <c:pt idx="0">
                  <c:v>0.2</c:v>
                </c:pt>
                <c:pt idx="1">
                  <c:v>0.5</c:v>
                </c:pt>
              </c:numCache>
            </c:numRef>
          </c:cat>
          <c:val>
            <c:numRef>
              <c:f>'Pos m Neg b'!$C$29:$D$29</c:f>
              <c:numCache>
                <c:formatCode>0.00</c:formatCode>
                <c:ptCount val="2"/>
                <c:pt idx="0">
                  <c:v>1.5</c:v>
                </c:pt>
                <c:pt idx="1">
                  <c:v>4.5</c:v>
                </c:pt>
              </c:numCache>
            </c:numRef>
          </c:val>
        </c:ser>
        <c:hiLowLines/>
        <c:marker val="1"/>
        <c:axId val="130309120"/>
        <c:axId val="139360128"/>
      </c:lineChart>
      <c:catAx>
        <c:axId val="130309120"/>
        <c:scaling>
          <c:orientation val="minMax"/>
        </c:scaling>
        <c:axPos val="b"/>
        <c:majorGridlines/>
        <c:minorGridlines/>
        <c:title>
          <c:tx>
            <c:strRef>
              <c:f>'Pos m Neg b'!$A$30</c:f>
              <c:strCache>
                <c:ptCount val="1"/>
                <c:pt idx="0">
                  <c:v>Vin</c:v>
                </c:pt>
              </c:strCache>
            </c:strRef>
          </c:tx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0" sourceLinked="1"/>
        <c:majorTickMark val="none"/>
        <c:tickLblPos val="nextTo"/>
        <c:crossAx val="139360128"/>
        <c:crosses val="autoZero"/>
        <c:auto val="1"/>
        <c:lblAlgn val="ctr"/>
        <c:lblOffset val="100"/>
      </c:catAx>
      <c:valAx>
        <c:axId val="139360128"/>
        <c:scaling>
          <c:orientation val="minMax"/>
        </c:scaling>
        <c:axPos val="l"/>
        <c:majorGridlines/>
        <c:minorGridlines/>
        <c:title>
          <c:tx>
            <c:strRef>
              <c:f>'Pos m Neg b'!$A$29</c:f>
              <c:strCache>
                <c:ptCount val="1"/>
                <c:pt idx="0">
                  <c:v>Vout  LM324</c:v>
                </c:pt>
              </c:strCache>
            </c:strRef>
          </c:tx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13030912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'Neg m Pos b'!$A$29</c:f>
          <c:strCache>
            <c:ptCount val="1"/>
            <c:pt idx="0">
              <c:v>Vout = -(m * Vin) + b</c:v>
            </c:pt>
          </c:strCache>
        </c:strRef>
      </c:tx>
    </c:title>
    <c:plotArea>
      <c:layout/>
      <c:lineChart>
        <c:grouping val="standard"/>
        <c:ser>
          <c:idx val="0"/>
          <c:order val="0"/>
          <c:tx>
            <c:strRef>
              <c:f>'Neg m Pos b'!$A$27</c:f>
              <c:strCache>
                <c:ptCount val="1"/>
                <c:pt idx="0">
                  <c:v>Vout  LM324</c:v>
                </c:pt>
              </c:strCache>
            </c:strRef>
          </c:tx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forward val="0.5"/>
            <c:backward val="0.5"/>
          </c:trendline>
          <c:cat>
            <c:numRef>
              <c:f>'Neg m Pos b'!$C$28:$D$28</c:f>
              <c:numCache>
                <c:formatCode>0.00</c:formatCode>
                <c:ptCount val="2"/>
                <c:pt idx="0">
                  <c:v>1.5</c:v>
                </c:pt>
                <c:pt idx="1">
                  <c:v>4</c:v>
                </c:pt>
              </c:numCache>
            </c:numRef>
          </c:cat>
          <c:val>
            <c:numRef>
              <c:f>'Neg m Pos b'!$C$27:$D$27</c:f>
              <c:numCache>
                <c:formatCode>0.00</c:formatCode>
                <c:ptCount val="2"/>
                <c:pt idx="0">
                  <c:v>3.5</c:v>
                </c:pt>
                <c:pt idx="1">
                  <c:v>1</c:v>
                </c:pt>
              </c:numCache>
            </c:numRef>
          </c:val>
        </c:ser>
        <c:hiLowLines/>
        <c:marker val="1"/>
        <c:axId val="157145728"/>
        <c:axId val="157189632"/>
      </c:lineChart>
      <c:catAx>
        <c:axId val="157145728"/>
        <c:scaling>
          <c:orientation val="minMax"/>
        </c:scaling>
        <c:axPos val="b"/>
        <c:majorGridlines/>
        <c:minorGridlines/>
        <c:title>
          <c:tx>
            <c:strRef>
              <c:f>'Neg m Pos b'!$A$28</c:f>
              <c:strCache>
                <c:ptCount val="1"/>
                <c:pt idx="0">
                  <c:v>Vin</c:v>
                </c:pt>
              </c:strCache>
            </c:strRef>
          </c:tx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0" sourceLinked="1"/>
        <c:majorTickMark val="none"/>
        <c:tickLblPos val="nextTo"/>
        <c:crossAx val="157189632"/>
        <c:crosses val="autoZero"/>
        <c:auto val="1"/>
        <c:lblAlgn val="ctr"/>
        <c:lblOffset val="100"/>
      </c:catAx>
      <c:valAx>
        <c:axId val="157189632"/>
        <c:scaling>
          <c:orientation val="minMax"/>
        </c:scaling>
        <c:axPos val="l"/>
        <c:majorGridlines/>
        <c:minorGridlines/>
        <c:title>
          <c:tx>
            <c:strRef>
              <c:f>'Neg m Pos b'!$A$27</c:f>
              <c:strCache>
                <c:ptCount val="1"/>
                <c:pt idx="0">
                  <c:v>Vout  LM324</c:v>
                </c:pt>
              </c:strCache>
            </c:strRef>
          </c:tx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157145728"/>
        <c:crosses val="autoZero"/>
        <c:crossBetween val="between"/>
        <c:minorUnit val="0.5"/>
      </c:valAx>
      <c:spPr>
        <a:solidFill>
          <a:sysClr val="window" lastClr="FFFFFF">
            <a:lumMod val="85000"/>
          </a:sysClr>
        </a:solidFill>
      </c:spPr>
    </c:plotArea>
    <c:legend>
      <c:legendPos val="r"/>
    </c:legend>
    <c:plotVisOnly val="1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'Neg m Neg b'!$A$27</c:f>
          <c:strCache>
            <c:ptCount val="1"/>
            <c:pt idx="0">
              <c:v>Vout = -(m * Vin) - b</c:v>
            </c:pt>
          </c:strCache>
        </c:strRef>
      </c:tx>
    </c:title>
    <c:plotArea>
      <c:layout/>
      <c:lineChart>
        <c:grouping val="standard"/>
        <c:ser>
          <c:idx val="0"/>
          <c:order val="0"/>
          <c:tx>
            <c:strRef>
              <c:f>'Neg m Neg b'!$A$25</c:f>
              <c:strCache>
                <c:ptCount val="1"/>
                <c:pt idx="0">
                  <c:v>Vout  LM324</c:v>
                </c:pt>
              </c:strCache>
            </c:strRef>
          </c:tx>
          <c:dLbls>
            <c:showVal val="1"/>
          </c:dLbls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forward val="0.5"/>
            <c:backward val="0.5"/>
          </c:trendline>
          <c:cat>
            <c:numRef>
              <c:f>'Neg m Neg b'!$C$26:$D$26</c:f>
              <c:numCache>
                <c:formatCode>0.00</c:formatCode>
                <c:ptCount val="2"/>
                <c:pt idx="0">
                  <c:v>-0.3</c:v>
                </c:pt>
                <c:pt idx="1">
                  <c:v>-0.1</c:v>
                </c:pt>
              </c:numCache>
            </c:numRef>
          </c:cat>
          <c:val>
            <c:numRef>
              <c:f>'Neg m Neg b'!$C$25:$D$25</c:f>
              <c:numCache>
                <c:formatCode>0.00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</c:ser>
        <c:hiLowLines/>
        <c:marker val="1"/>
        <c:axId val="55164928"/>
        <c:axId val="55166848"/>
      </c:lineChart>
      <c:catAx>
        <c:axId val="55164928"/>
        <c:scaling>
          <c:orientation val="minMax"/>
        </c:scaling>
        <c:axPos val="b"/>
        <c:majorGridlines/>
        <c:minorGridlines/>
        <c:title>
          <c:tx>
            <c:strRef>
              <c:f>'Neg m Neg b'!$A$26</c:f>
              <c:strCache>
                <c:ptCount val="1"/>
                <c:pt idx="0">
                  <c:v>Vin</c:v>
                </c:pt>
              </c:strCache>
            </c:strRef>
          </c:tx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0" sourceLinked="1"/>
        <c:majorTickMark val="none"/>
        <c:tickLblPos val="nextTo"/>
        <c:crossAx val="55166848"/>
        <c:crosses val="autoZero"/>
        <c:auto val="1"/>
        <c:lblAlgn val="ctr"/>
        <c:lblOffset val="100"/>
      </c:catAx>
      <c:valAx>
        <c:axId val="55166848"/>
        <c:scaling>
          <c:orientation val="minMax"/>
        </c:scaling>
        <c:axPos val="l"/>
        <c:majorGridlines/>
        <c:minorGridlines/>
        <c:title>
          <c:tx>
            <c:strRef>
              <c:f>'Neg m Neg b'!$A$25</c:f>
              <c:strCache>
                <c:ptCount val="1"/>
                <c:pt idx="0">
                  <c:v>Vout  LM324</c:v>
                </c:pt>
              </c:strCache>
            </c:strRef>
          </c:tx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55164928"/>
        <c:crosses val="autoZero"/>
        <c:crossBetween val="between"/>
        <c:minorUnit val="0.5"/>
      </c:valAx>
      <c:spPr>
        <a:solidFill>
          <a:schemeClr val="bg1">
            <a:lumMod val="85000"/>
          </a:schemeClr>
        </a:solidFill>
      </c:spPr>
    </c:plotArea>
    <c:legend>
      <c:legendPos val="r"/>
    </c:legend>
    <c:plotVisOnly val="1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Manual!$E$13</c:f>
          <c:strCache>
            <c:ptCount val="1"/>
            <c:pt idx="0">
              <c:v>Vout = (m * Vin) + b</c:v>
            </c:pt>
          </c:strCache>
        </c:strRef>
      </c:tx>
    </c:title>
    <c:plotArea>
      <c:layout/>
      <c:lineChart>
        <c:grouping val="standard"/>
        <c:ser>
          <c:idx val="0"/>
          <c:order val="0"/>
          <c:tx>
            <c:strRef>
              <c:f>Manual!$A$11</c:f>
              <c:strCache>
                <c:ptCount val="1"/>
                <c:pt idx="0">
                  <c:v>Vout</c:v>
                </c:pt>
              </c:strCache>
            </c:strRef>
          </c:tx>
          <c:dLbls>
            <c:txPr>
              <a:bodyPr/>
              <a:lstStyle/>
              <a:p>
                <a:pPr>
                  <a:defRPr sz="1200"/>
                </a:pPr>
                <a:endParaRPr lang="da-DK"/>
              </a:p>
            </c:txPr>
            <c:showVal val="1"/>
          </c:dLbls>
          <c:trendline>
            <c:spPr>
              <a:ln>
                <a:prstDash val="sysDot"/>
              </a:ln>
            </c:spPr>
            <c:trendlineType val="linear"/>
          </c:trendline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</c:trendline>
          <c:trendline>
            <c:trendlineType val="linear"/>
          </c:trendline>
          <c:cat>
            <c:numRef>
              <c:f>Manual!$E$12:$F$12</c:f>
              <c:numCache>
                <c:formatCode>0.00</c:formatCode>
                <c:ptCount val="2"/>
                <c:pt idx="0">
                  <c:v>0.01</c:v>
                </c:pt>
                <c:pt idx="1">
                  <c:v>1</c:v>
                </c:pt>
              </c:numCache>
            </c:numRef>
          </c:cat>
          <c:val>
            <c:numRef>
              <c:f>Manual!$C$12:$D$12</c:f>
              <c:numCache>
                <c:formatCode>0.00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</c:ser>
        <c:hiLowLines/>
        <c:marker val="1"/>
        <c:axId val="55287168"/>
        <c:axId val="55305728"/>
      </c:lineChart>
      <c:catAx>
        <c:axId val="55287168"/>
        <c:scaling>
          <c:orientation val="minMax"/>
        </c:scaling>
        <c:axPos val="b"/>
        <c:majorGridlines/>
        <c:minorGridlines/>
        <c:title>
          <c:tx>
            <c:strRef>
              <c:f>Manual!$B$11</c:f>
              <c:strCache>
                <c:ptCount val="1"/>
                <c:pt idx="0">
                  <c:v>Vin</c:v>
                </c:pt>
              </c:strCache>
            </c:strRef>
          </c:tx>
          <c:txPr>
            <a:bodyPr/>
            <a:lstStyle/>
            <a:p>
              <a:pPr>
                <a:defRPr sz="1400"/>
              </a:pPr>
              <a:endParaRPr lang="da-DK"/>
            </a:p>
          </c:txPr>
        </c:title>
        <c:numFmt formatCode="0.00" sourceLinked="1"/>
        <c:majorTickMark val="none"/>
        <c:tickLblPos val="nextTo"/>
        <c:txPr>
          <a:bodyPr/>
          <a:lstStyle/>
          <a:p>
            <a:pPr>
              <a:defRPr sz="1400"/>
            </a:pPr>
            <a:endParaRPr lang="da-DK"/>
          </a:p>
        </c:txPr>
        <c:crossAx val="55305728"/>
        <c:crosses val="autoZero"/>
        <c:auto val="1"/>
        <c:lblAlgn val="ctr"/>
        <c:lblOffset val="100"/>
      </c:catAx>
      <c:valAx>
        <c:axId val="55305728"/>
        <c:scaling>
          <c:orientation val="minMax"/>
        </c:scaling>
        <c:axPos val="l"/>
        <c:majorGridlines/>
        <c:minorGridlines/>
        <c:title>
          <c:tx>
            <c:strRef>
              <c:f>Manual!$A$11</c:f>
              <c:strCache>
                <c:ptCount val="1"/>
                <c:pt idx="0">
                  <c:v>Vout</c:v>
                </c:pt>
              </c:strCache>
            </c:strRef>
          </c:tx>
          <c:txPr>
            <a:bodyPr/>
            <a:lstStyle/>
            <a:p>
              <a:pPr>
                <a:defRPr sz="1400"/>
              </a:pPr>
              <a:endParaRPr lang="da-DK"/>
            </a:p>
          </c:txPr>
        </c:title>
        <c:numFmt formatCode="0.0" sourceLinked="0"/>
        <c:tickLblPos val="nextTo"/>
        <c:txPr>
          <a:bodyPr/>
          <a:lstStyle/>
          <a:p>
            <a:pPr>
              <a:defRPr sz="1400" baseline="0"/>
            </a:pPr>
            <a:endParaRPr lang="da-DK"/>
          </a:p>
        </c:txPr>
        <c:crossAx val="55287168"/>
        <c:crosses val="autoZero"/>
        <c:crossBetween val="midCat"/>
        <c:minorUnit val="0.5"/>
      </c:valAx>
      <c:spPr>
        <a:solidFill>
          <a:schemeClr val="bg1">
            <a:lumMod val="85000"/>
          </a:schemeClr>
        </a:solidFill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txPr>
        <a:bodyPr/>
        <a:lstStyle/>
        <a:p>
          <a:pPr>
            <a:defRPr sz="1400"/>
          </a:pPr>
          <a:endParaRPr lang="da-DK"/>
        </a:p>
      </c:txPr>
    </c:legend>
    <c:plotVisOnly val="1"/>
    <c:dispBlanksAs val="gap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'Pos m Pos b'!$A$27</c:f>
          <c:strCache>
            <c:ptCount val="1"/>
            <c:pt idx="0">
              <c:v>Vout = (m * Vin) + b</c:v>
            </c:pt>
          </c:strCache>
        </c:strRef>
      </c:tx>
      <c:txPr>
        <a:bodyPr/>
        <a:lstStyle/>
        <a:p>
          <a:pPr>
            <a:defRPr sz="1400"/>
          </a:pPr>
          <a:endParaRPr lang="da-DK"/>
        </a:p>
      </c:txPr>
    </c:title>
    <c:plotArea>
      <c:layout/>
      <c:lineChart>
        <c:grouping val="standard"/>
        <c:ser>
          <c:idx val="0"/>
          <c:order val="0"/>
          <c:tx>
            <c:strRef>
              <c:f>'Pos m Pos b'!$A$25</c:f>
              <c:strCache>
                <c:ptCount val="1"/>
                <c:pt idx="0">
                  <c:v>Vout  LM324</c:v>
                </c:pt>
              </c:strCache>
            </c:strRef>
          </c:tx>
          <c:dLbls>
            <c:showVal val="1"/>
          </c:dLbls>
          <c:trendline>
            <c:spPr>
              <a:ln>
                <a:prstDash val="sysDot"/>
              </a:ln>
            </c:spPr>
            <c:trendlineType val="linear"/>
          </c:trendline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forward val="0.5"/>
            <c:backward val="0.5"/>
          </c:trendline>
          <c:trendline>
            <c:trendlineType val="linear"/>
          </c:trendline>
          <c:cat>
            <c:numRef>
              <c:f>'Pos m Pos b'!$C$26:$D$26</c:f>
              <c:numCache>
                <c:formatCode>0.000</c:formatCode>
                <c:ptCount val="2"/>
                <c:pt idx="0">
                  <c:v>0.01</c:v>
                </c:pt>
                <c:pt idx="1">
                  <c:v>1</c:v>
                </c:pt>
              </c:numCache>
            </c:numRef>
          </c:cat>
          <c:val>
            <c:numRef>
              <c:f>'Pos m Pos b'!$C$25:$D$25</c:f>
              <c:numCache>
                <c:formatCode>0.00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</c:ser>
        <c:hiLowLines/>
        <c:marker val="1"/>
        <c:axId val="55330688"/>
        <c:axId val="55357440"/>
      </c:lineChart>
      <c:catAx>
        <c:axId val="55330688"/>
        <c:scaling>
          <c:orientation val="minMax"/>
        </c:scaling>
        <c:axPos val="b"/>
        <c:majorGridlines/>
        <c:minorGridlines/>
        <c:title>
          <c:tx>
            <c:strRef>
              <c:f>'Pos m Pos b'!$A$26</c:f>
              <c:strCache>
                <c:ptCount val="1"/>
                <c:pt idx="0">
                  <c:v>Vin</c:v>
                </c:pt>
              </c:strCache>
            </c:strRef>
          </c:tx>
          <c:txPr>
            <a:bodyPr/>
            <a:lstStyle/>
            <a:p>
              <a:pPr>
                <a:defRPr sz="1000"/>
              </a:pPr>
              <a:endParaRPr lang="da-DK"/>
            </a:p>
          </c:txPr>
        </c:title>
        <c:numFmt formatCode="0.000" sourceLinked="1"/>
        <c:majorTickMark val="none"/>
        <c:tickLblPos val="nextTo"/>
        <c:crossAx val="55357440"/>
        <c:crosses val="autoZero"/>
        <c:auto val="1"/>
        <c:lblAlgn val="ctr"/>
        <c:lblOffset val="100"/>
      </c:catAx>
      <c:valAx>
        <c:axId val="55357440"/>
        <c:scaling>
          <c:orientation val="minMax"/>
        </c:scaling>
        <c:axPos val="l"/>
        <c:majorGridlines/>
        <c:minorGridlines/>
        <c:title>
          <c:tx>
            <c:strRef>
              <c:f>'Pos m Pos b'!$A$25</c:f>
              <c:strCache>
                <c:ptCount val="1"/>
                <c:pt idx="0">
                  <c:v>Vout  LM324</c:v>
                </c:pt>
              </c:strCache>
            </c:strRef>
          </c:tx>
          <c:txPr>
            <a:bodyPr/>
            <a:lstStyle/>
            <a:p>
              <a:pPr>
                <a:defRPr sz="1000"/>
              </a:pPr>
              <a:endParaRPr lang="da-DK"/>
            </a:p>
          </c:txPr>
        </c:title>
        <c:numFmt formatCode="0.0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55330688"/>
        <c:crosses val="autoZero"/>
        <c:crossBetween val="between"/>
        <c:minorUnit val="0.5"/>
      </c:valAx>
      <c:spPr>
        <a:solidFill>
          <a:schemeClr val="bg1">
            <a:lumMod val="85000"/>
          </a:schemeClr>
        </a:solidFill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'Pos m Neg b'!$A$31</c:f>
          <c:strCache>
            <c:ptCount val="1"/>
            <c:pt idx="0">
              <c:v>Vout = (m * Vin) - b</c:v>
            </c:pt>
          </c:strCache>
        </c:strRef>
      </c:tx>
      <c:txPr>
        <a:bodyPr/>
        <a:lstStyle/>
        <a:p>
          <a:pPr>
            <a:defRPr sz="1400"/>
          </a:pPr>
          <a:endParaRPr lang="da-DK"/>
        </a:p>
      </c:txPr>
    </c:title>
    <c:plotArea>
      <c:layout/>
      <c:lineChart>
        <c:grouping val="standard"/>
        <c:ser>
          <c:idx val="0"/>
          <c:order val="0"/>
          <c:tx>
            <c:strRef>
              <c:f>'Pos m Neg b'!$A$29</c:f>
              <c:strCache>
                <c:ptCount val="1"/>
                <c:pt idx="0">
                  <c:v>Vout  LM324</c:v>
                </c:pt>
              </c:strCache>
            </c:strRef>
          </c:tx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forward val="0.5"/>
            <c:backward val="0.5"/>
          </c:trendline>
          <c:cat>
            <c:numRef>
              <c:f>'Pos m Neg b'!$C$30:$D$30</c:f>
              <c:numCache>
                <c:formatCode>0.00</c:formatCode>
                <c:ptCount val="2"/>
                <c:pt idx="0">
                  <c:v>0.2</c:v>
                </c:pt>
                <c:pt idx="1">
                  <c:v>0.5</c:v>
                </c:pt>
              </c:numCache>
            </c:numRef>
          </c:cat>
          <c:val>
            <c:numRef>
              <c:f>'Pos m Neg b'!$C$29:$D$29</c:f>
              <c:numCache>
                <c:formatCode>0.00</c:formatCode>
                <c:ptCount val="2"/>
                <c:pt idx="0">
                  <c:v>1.5</c:v>
                </c:pt>
                <c:pt idx="1">
                  <c:v>4.5</c:v>
                </c:pt>
              </c:numCache>
            </c:numRef>
          </c:val>
        </c:ser>
        <c:hiLowLines/>
        <c:marker val="1"/>
        <c:axId val="55371648"/>
        <c:axId val="55373824"/>
      </c:lineChart>
      <c:catAx>
        <c:axId val="55371648"/>
        <c:scaling>
          <c:orientation val="minMax"/>
        </c:scaling>
        <c:axPos val="b"/>
        <c:majorGridlines/>
        <c:minorGridlines/>
        <c:title>
          <c:tx>
            <c:strRef>
              <c:f>'Pos m Neg b'!$A$30</c:f>
              <c:strCache>
                <c:ptCount val="1"/>
                <c:pt idx="0">
                  <c:v>Vin</c:v>
                </c:pt>
              </c:strCache>
            </c:strRef>
          </c:tx>
          <c:txPr>
            <a:bodyPr/>
            <a:lstStyle/>
            <a:p>
              <a:pPr>
                <a:defRPr sz="1000"/>
              </a:pPr>
              <a:endParaRPr lang="da-DK"/>
            </a:p>
          </c:txPr>
        </c:title>
        <c:numFmt formatCode="0.00" sourceLinked="1"/>
        <c:majorTickMark val="none"/>
        <c:tickLblPos val="nextTo"/>
        <c:crossAx val="55373824"/>
        <c:crosses val="autoZero"/>
        <c:auto val="1"/>
        <c:lblAlgn val="ctr"/>
        <c:lblOffset val="100"/>
      </c:catAx>
      <c:valAx>
        <c:axId val="55373824"/>
        <c:scaling>
          <c:orientation val="minMax"/>
        </c:scaling>
        <c:axPos val="l"/>
        <c:majorGridlines/>
        <c:minorGridlines/>
        <c:title>
          <c:tx>
            <c:strRef>
              <c:f>'Pos m Neg b'!$A$29</c:f>
              <c:strCache>
                <c:ptCount val="1"/>
                <c:pt idx="0">
                  <c:v>Vout  LM324</c:v>
                </c:pt>
              </c:strCache>
            </c:strRef>
          </c:tx>
          <c:txPr>
            <a:bodyPr/>
            <a:lstStyle/>
            <a:p>
              <a:pPr>
                <a:defRPr sz="1000"/>
              </a:pPr>
              <a:endParaRPr lang="da-DK"/>
            </a:p>
          </c:txPr>
        </c:title>
        <c:numFmt formatCode="0.0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5537164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'Neg m Pos b'!$A$29</c:f>
          <c:strCache>
            <c:ptCount val="1"/>
            <c:pt idx="0">
              <c:v>Vout = -(m * Vin) + b</c:v>
            </c:pt>
          </c:strCache>
        </c:strRef>
      </c:tx>
      <c:txPr>
        <a:bodyPr/>
        <a:lstStyle/>
        <a:p>
          <a:pPr>
            <a:defRPr sz="1400"/>
          </a:pPr>
          <a:endParaRPr lang="da-DK"/>
        </a:p>
      </c:txPr>
    </c:title>
    <c:plotArea>
      <c:layout/>
      <c:lineChart>
        <c:grouping val="standard"/>
        <c:ser>
          <c:idx val="0"/>
          <c:order val="0"/>
          <c:tx>
            <c:strRef>
              <c:f>'Neg m Pos b'!$A$27</c:f>
              <c:strCache>
                <c:ptCount val="1"/>
                <c:pt idx="0">
                  <c:v>Vout  LM324</c:v>
                </c:pt>
              </c:strCache>
            </c:strRef>
          </c:tx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forward val="0.5"/>
            <c:backward val="0.5"/>
          </c:trendline>
          <c:cat>
            <c:numRef>
              <c:f>'Neg m Pos b'!$C$28:$D$28</c:f>
              <c:numCache>
                <c:formatCode>0.00</c:formatCode>
                <c:ptCount val="2"/>
                <c:pt idx="0">
                  <c:v>1.5</c:v>
                </c:pt>
                <c:pt idx="1">
                  <c:v>4</c:v>
                </c:pt>
              </c:numCache>
            </c:numRef>
          </c:cat>
          <c:val>
            <c:numRef>
              <c:f>'Neg m Pos b'!$C$27:$D$27</c:f>
              <c:numCache>
                <c:formatCode>0.00</c:formatCode>
                <c:ptCount val="2"/>
                <c:pt idx="0">
                  <c:v>3.5</c:v>
                </c:pt>
                <c:pt idx="1">
                  <c:v>1</c:v>
                </c:pt>
              </c:numCache>
            </c:numRef>
          </c:val>
        </c:ser>
        <c:hiLowLines/>
        <c:marker val="1"/>
        <c:axId val="55411840"/>
        <c:axId val="55413760"/>
      </c:lineChart>
      <c:catAx>
        <c:axId val="55411840"/>
        <c:scaling>
          <c:orientation val="minMax"/>
        </c:scaling>
        <c:axPos val="b"/>
        <c:majorGridlines/>
        <c:minorGridlines/>
        <c:title>
          <c:tx>
            <c:strRef>
              <c:f>'Neg m Pos b'!$A$28</c:f>
              <c:strCache>
                <c:ptCount val="1"/>
                <c:pt idx="0">
                  <c:v>Vin</c:v>
                </c:pt>
              </c:strCache>
            </c:strRef>
          </c:tx>
          <c:txPr>
            <a:bodyPr/>
            <a:lstStyle/>
            <a:p>
              <a:pPr>
                <a:defRPr sz="1000"/>
              </a:pPr>
              <a:endParaRPr lang="da-DK"/>
            </a:p>
          </c:txPr>
        </c:title>
        <c:numFmt formatCode="0.00" sourceLinked="1"/>
        <c:majorTickMark val="none"/>
        <c:tickLblPos val="nextTo"/>
        <c:crossAx val="55413760"/>
        <c:crosses val="autoZero"/>
        <c:auto val="1"/>
        <c:lblAlgn val="ctr"/>
        <c:lblOffset val="100"/>
      </c:catAx>
      <c:valAx>
        <c:axId val="55413760"/>
        <c:scaling>
          <c:orientation val="minMax"/>
        </c:scaling>
        <c:axPos val="l"/>
        <c:majorGridlines/>
        <c:minorGridlines/>
        <c:title>
          <c:tx>
            <c:strRef>
              <c:f>'Neg m Pos b'!$A$27</c:f>
              <c:strCache>
                <c:ptCount val="1"/>
                <c:pt idx="0">
                  <c:v>Vout  LM324</c:v>
                </c:pt>
              </c:strCache>
            </c:strRef>
          </c:tx>
          <c:txPr>
            <a:bodyPr/>
            <a:lstStyle/>
            <a:p>
              <a:pPr>
                <a:defRPr sz="1000"/>
              </a:pPr>
              <a:endParaRPr lang="da-DK"/>
            </a:p>
          </c:txPr>
        </c:title>
        <c:numFmt formatCode="0.0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55411840"/>
        <c:crosses val="autoZero"/>
        <c:crossBetween val="between"/>
        <c:minorUnit val="0.5"/>
      </c:valAx>
      <c:spPr>
        <a:solidFill>
          <a:sysClr val="window" lastClr="FFFFFF">
            <a:lumMod val="85000"/>
          </a:sysClr>
        </a:solidFill>
      </c:spPr>
    </c:plotArea>
    <c:legend>
      <c:legendPos val="r"/>
    </c:legend>
    <c:plotVisOnly val="1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'Neg m Neg b'!$A$27</c:f>
          <c:strCache>
            <c:ptCount val="1"/>
            <c:pt idx="0">
              <c:v>Vout = -(m * Vin) - b</c:v>
            </c:pt>
          </c:strCache>
        </c:strRef>
      </c:tx>
    </c:title>
    <c:plotArea>
      <c:layout/>
      <c:lineChart>
        <c:grouping val="standard"/>
        <c:ser>
          <c:idx val="0"/>
          <c:order val="0"/>
          <c:tx>
            <c:strRef>
              <c:f>'Neg m Neg b'!$A$25</c:f>
              <c:strCache>
                <c:ptCount val="1"/>
                <c:pt idx="0">
                  <c:v>Vout  LM324</c:v>
                </c:pt>
              </c:strCache>
            </c:strRef>
          </c:tx>
          <c:dLbls>
            <c:showVal val="1"/>
          </c:dLbls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forward val="0.5"/>
            <c:backward val="0.5"/>
          </c:trendline>
          <c:cat>
            <c:numRef>
              <c:f>'Neg m Neg b'!$C$26:$D$26</c:f>
              <c:numCache>
                <c:formatCode>0.00</c:formatCode>
                <c:ptCount val="2"/>
                <c:pt idx="0">
                  <c:v>-0.3</c:v>
                </c:pt>
                <c:pt idx="1">
                  <c:v>-0.1</c:v>
                </c:pt>
              </c:numCache>
            </c:numRef>
          </c:cat>
          <c:val>
            <c:numRef>
              <c:f>'Neg m Neg b'!$C$25:$D$25</c:f>
              <c:numCache>
                <c:formatCode>0.00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</c:ser>
        <c:hiLowLines/>
        <c:marker val="1"/>
        <c:axId val="56451840"/>
        <c:axId val="56453760"/>
      </c:lineChart>
      <c:catAx>
        <c:axId val="56451840"/>
        <c:scaling>
          <c:orientation val="minMax"/>
        </c:scaling>
        <c:axPos val="b"/>
        <c:majorGridlines/>
        <c:minorGridlines/>
        <c:title>
          <c:tx>
            <c:strRef>
              <c:f>'Neg m Neg b'!$A$26</c:f>
              <c:strCache>
                <c:ptCount val="1"/>
                <c:pt idx="0">
                  <c:v>Vin</c:v>
                </c:pt>
              </c:strCache>
            </c:strRef>
          </c:tx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0" sourceLinked="1"/>
        <c:majorTickMark val="none"/>
        <c:tickLblPos val="nextTo"/>
        <c:crossAx val="56453760"/>
        <c:crosses val="autoZero"/>
        <c:auto val="1"/>
        <c:lblAlgn val="ctr"/>
        <c:lblOffset val="100"/>
      </c:catAx>
      <c:valAx>
        <c:axId val="56453760"/>
        <c:scaling>
          <c:orientation val="minMax"/>
        </c:scaling>
        <c:axPos val="l"/>
        <c:majorGridlines/>
        <c:minorGridlines/>
        <c:title>
          <c:tx>
            <c:strRef>
              <c:f>'Neg m Neg b'!$A$25</c:f>
              <c:strCache>
                <c:ptCount val="1"/>
                <c:pt idx="0">
                  <c:v>Vout  LM324</c:v>
                </c:pt>
              </c:strCache>
            </c:strRef>
          </c:tx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56451840"/>
        <c:crosses val="autoZero"/>
        <c:crossBetween val="between"/>
        <c:minorUnit val="0.5"/>
      </c:valAx>
      <c:spPr>
        <a:solidFill>
          <a:schemeClr val="bg1">
            <a:lumMod val="85000"/>
          </a:schemeClr>
        </a:solidFill>
      </c:spPr>
    </c:plotArea>
    <c:legend>
      <c:legendPos val="r"/>
    </c:legend>
    <c:plotVisOnly val="1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2" Type="http://schemas.openxmlformats.org/officeDocument/2006/relationships/image" Target="../media/image7.emf"/><Relationship Id="rId1" Type="http://schemas.openxmlformats.org/officeDocument/2006/relationships/chart" Target="../charts/chart2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7" Type="http://schemas.openxmlformats.org/officeDocument/2006/relationships/image" Target="../media/image18.emf"/><Relationship Id="rId2" Type="http://schemas.openxmlformats.org/officeDocument/2006/relationships/image" Target="../media/image13.emf"/><Relationship Id="rId1" Type="http://schemas.openxmlformats.org/officeDocument/2006/relationships/chart" Target="../charts/chart3.xml"/><Relationship Id="rId6" Type="http://schemas.openxmlformats.org/officeDocument/2006/relationships/image" Target="../media/image17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7" Type="http://schemas.openxmlformats.org/officeDocument/2006/relationships/image" Target="../media/image24.emf"/><Relationship Id="rId2" Type="http://schemas.openxmlformats.org/officeDocument/2006/relationships/image" Target="../media/image19.emf"/><Relationship Id="rId1" Type="http://schemas.openxmlformats.org/officeDocument/2006/relationships/chart" Target="../charts/chart4.xml"/><Relationship Id="rId6" Type="http://schemas.openxmlformats.org/officeDocument/2006/relationships/image" Target="../media/image23.emf"/><Relationship Id="rId5" Type="http://schemas.openxmlformats.org/officeDocument/2006/relationships/image" Target="../media/image22.emf"/><Relationship Id="rId4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13" Type="http://schemas.openxmlformats.org/officeDocument/2006/relationships/image" Target="../media/image14.emf"/><Relationship Id="rId3" Type="http://schemas.openxmlformats.org/officeDocument/2006/relationships/chart" Target="../charts/chart7.xml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7.emf"/><Relationship Id="rId11" Type="http://schemas.openxmlformats.org/officeDocument/2006/relationships/image" Target="../media/image2.emf"/><Relationship Id="rId5" Type="http://schemas.openxmlformats.org/officeDocument/2006/relationships/chart" Target="../charts/chart9.xml"/><Relationship Id="rId10" Type="http://schemas.openxmlformats.org/officeDocument/2006/relationships/image" Target="../media/image1.emf"/><Relationship Id="rId4" Type="http://schemas.openxmlformats.org/officeDocument/2006/relationships/chart" Target="../charts/chart8.xml"/><Relationship Id="rId9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28</xdr:row>
      <xdr:rowOff>0</xdr:rowOff>
    </xdr:from>
    <xdr:to>
      <xdr:col>13</xdr:col>
      <xdr:colOff>601980</xdr:colOff>
      <xdr:row>48</xdr:row>
      <xdr:rowOff>7620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0</xdr:row>
      <xdr:rowOff>0</xdr:rowOff>
    </xdr:from>
    <xdr:to>
      <xdr:col>9</xdr:col>
      <xdr:colOff>396240</xdr:colOff>
      <xdr:row>6</xdr:row>
      <xdr:rowOff>53340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84520" y="0"/>
          <a:ext cx="2827020" cy="15621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15</xdr:col>
      <xdr:colOff>388620</xdr:colOff>
      <xdr:row>6</xdr:row>
      <xdr:rowOff>53340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0"/>
          <a:ext cx="2827020" cy="1562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7620</xdr:rowOff>
    </xdr:from>
    <xdr:to>
      <xdr:col>14</xdr:col>
      <xdr:colOff>1905</xdr:colOff>
      <xdr:row>83</xdr:row>
      <xdr:rowOff>137160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3136880"/>
          <a:ext cx="11155680" cy="3055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14</xdr:col>
      <xdr:colOff>0</xdr:colOff>
      <xdr:row>64</xdr:row>
      <xdr:rowOff>175260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9837420"/>
          <a:ext cx="11163300" cy="291846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50</xdr:row>
      <xdr:rowOff>0</xdr:rowOff>
    </xdr:from>
    <xdr:to>
      <xdr:col>20</xdr:col>
      <xdr:colOff>30480</xdr:colOff>
      <xdr:row>58</xdr:row>
      <xdr:rowOff>99060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772900" y="10020300"/>
          <a:ext cx="3078480" cy="15621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68</xdr:row>
      <xdr:rowOff>0</xdr:rowOff>
    </xdr:from>
    <xdr:to>
      <xdr:col>20</xdr:col>
      <xdr:colOff>30480</xdr:colOff>
      <xdr:row>76</xdr:row>
      <xdr:rowOff>99060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72900" y="13327380"/>
          <a:ext cx="3078480" cy="1562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31</xdr:row>
      <xdr:rowOff>167640</xdr:rowOff>
    </xdr:from>
    <xdr:to>
      <xdr:col>13</xdr:col>
      <xdr:colOff>594360</xdr:colOff>
      <xdr:row>50</xdr:row>
      <xdr:rowOff>175260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0</xdr:row>
      <xdr:rowOff>0</xdr:rowOff>
    </xdr:from>
    <xdr:to>
      <xdr:col>9</xdr:col>
      <xdr:colOff>403860</xdr:colOff>
      <xdr:row>6</xdr:row>
      <xdr:rowOff>83820</xdr:rowOff>
    </xdr:to>
    <xdr:pic>
      <xdr:nvPicPr>
        <xdr:cNvPr id="30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84520" y="0"/>
          <a:ext cx="2834640" cy="159258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15</xdr:col>
      <xdr:colOff>396240</xdr:colOff>
      <xdr:row>6</xdr:row>
      <xdr:rowOff>83820</xdr:rowOff>
    </xdr:to>
    <xdr:pic>
      <xdr:nvPicPr>
        <xdr:cNvPr id="30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0"/>
          <a:ext cx="2834640" cy="159258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14</xdr:col>
      <xdr:colOff>1905</xdr:colOff>
      <xdr:row>66</xdr:row>
      <xdr:rowOff>167640</xdr:rowOff>
    </xdr:to>
    <xdr:pic>
      <xdr:nvPicPr>
        <xdr:cNvPr id="30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0469880"/>
          <a:ext cx="11155680" cy="272796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53</xdr:row>
      <xdr:rowOff>0</xdr:rowOff>
    </xdr:from>
    <xdr:to>
      <xdr:col>20</xdr:col>
      <xdr:colOff>137160</xdr:colOff>
      <xdr:row>61</xdr:row>
      <xdr:rowOff>114300</xdr:rowOff>
    </xdr:to>
    <xdr:pic>
      <xdr:nvPicPr>
        <xdr:cNvPr id="30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772900" y="10652760"/>
          <a:ext cx="3185160" cy="15773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14</xdr:col>
      <xdr:colOff>0</xdr:colOff>
      <xdr:row>82</xdr:row>
      <xdr:rowOff>137160</xdr:rowOff>
    </xdr:to>
    <xdr:pic>
      <xdr:nvPicPr>
        <xdr:cNvPr id="30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3411200"/>
          <a:ext cx="11163300" cy="269748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20</xdr:col>
      <xdr:colOff>137160</xdr:colOff>
      <xdr:row>77</xdr:row>
      <xdr:rowOff>114300</xdr:rowOff>
    </xdr:to>
    <xdr:pic>
      <xdr:nvPicPr>
        <xdr:cNvPr id="30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72900" y="13594080"/>
          <a:ext cx="3185160" cy="157734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30</xdr:row>
      <xdr:rowOff>0</xdr:rowOff>
    </xdr:from>
    <xdr:to>
      <xdr:col>13</xdr:col>
      <xdr:colOff>525780</xdr:colOff>
      <xdr:row>50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0</xdr:row>
      <xdr:rowOff>0</xdr:rowOff>
    </xdr:from>
    <xdr:to>
      <xdr:col>9</xdr:col>
      <xdr:colOff>449580</xdr:colOff>
      <xdr:row>6</xdr:row>
      <xdr:rowOff>152400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84520" y="0"/>
          <a:ext cx="2880360" cy="166116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15</xdr:col>
      <xdr:colOff>441960</xdr:colOff>
      <xdr:row>6</xdr:row>
      <xdr:rowOff>152400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0"/>
          <a:ext cx="2880360" cy="166116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14</xdr:col>
      <xdr:colOff>0</xdr:colOff>
      <xdr:row>65</xdr:row>
      <xdr:rowOff>144780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0294620"/>
          <a:ext cx="11163300" cy="2705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14</xdr:col>
      <xdr:colOff>0</xdr:colOff>
      <xdr:row>81</xdr:row>
      <xdr:rowOff>167640</xdr:rowOff>
    </xdr:to>
    <xdr:pic>
      <xdr:nvPicPr>
        <xdr:cNvPr id="41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3235940"/>
          <a:ext cx="11163300" cy="272796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68</xdr:row>
      <xdr:rowOff>0</xdr:rowOff>
    </xdr:from>
    <xdr:to>
      <xdr:col>20</xdr:col>
      <xdr:colOff>167640</xdr:colOff>
      <xdr:row>77</xdr:row>
      <xdr:rowOff>15240</xdr:rowOff>
    </xdr:to>
    <xdr:pic>
      <xdr:nvPicPr>
        <xdr:cNvPr id="4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772900" y="13418820"/>
          <a:ext cx="3215640" cy="166116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52</xdr:row>
      <xdr:rowOff>0</xdr:rowOff>
    </xdr:from>
    <xdr:to>
      <xdr:col>20</xdr:col>
      <xdr:colOff>167640</xdr:colOff>
      <xdr:row>61</xdr:row>
      <xdr:rowOff>15240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72900" y="10477500"/>
          <a:ext cx="3215640" cy="166116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28</xdr:row>
      <xdr:rowOff>0</xdr:rowOff>
    </xdr:from>
    <xdr:to>
      <xdr:col>13</xdr:col>
      <xdr:colOff>510540</xdr:colOff>
      <xdr:row>48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0</xdr:row>
      <xdr:rowOff>0</xdr:rowOff>
    </xdr:from>
    <xdr:to>
      <xdr:col>9</xdr:col>
      <xdr:colOff>419100</xdr:colOff>
      <xdr:row>7</xdr:row>
      <xdr:rowOff>175260</xdr:rowOff>
    </xdr:to>
    <xdr:pic>
      <xdr:nvPicPr>
        <xdr:cNvPr id="5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84520" y="0"/>
          <a:ext cx="2849880" cy="188214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15</xdr:col>
      <xdr:colOff>411480</xdr:colOff>
      <xdr:row>7</xdr:row>
      <xdr:rowOff>175260</xdr:rowOff>
    </xdr:to>
    <xdr:pic>
      <xdr:nvPicPr>
        <xdr:cNvPr id="51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0"/>
          <a:ext cx="2849880" cy="188214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50</xdr:row>
      <xdr:rowOff>0</xdr:rowOff>
    </xdr:from>
    <xdr:to>
      <xdr:col>20</xdr:col>
      <xdr:colOff>114300</xdr:colOff>
      <xdr:row>60</xdr:row>
      <xdr:rowOff>53340</xdr:rowOff>
    </xdr:to>
    <xdr:pic>
      <xdr:nvPicPr>
        <xdr:cNvPr id="51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72900" y="10050780"/>
          <a:ext cx="3162300" cy="18821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14</xdr:col>
      <xdr:colOff>1905</xdr:colOff>
      <xdr:row>64</xdr:row>
      <xdr:rowOff>144780</xdr:rowOff>
    </xdr:to>
    <xdr:pic>
      <xdr:nvPicPr>
        <xdr:cNvPr id="51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9867900"/>
          <a:ext cx="11155680" cy="288798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13</xdr:col>
      <xdr:colOff>502920</xdr:colOff>
      <xdr:row>82</xdr:row>
      <xdr:rowOff>53340</xdr:rowOff>
    </xdr:to>
    <xdr:pic>
      <xdr:nvPicPr>
        <xdr:cNvPr id="513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2992100"/>
          <a:ext cx="11056620" cy="297942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67</xdr:row>
      <xdr:rowOff>0</xdr:rowOff>
    </xdr:from>
    <xdr:to>
      <xdr:col>20</xdr:col>
      <xdr:colOff>114300</xdr:colOff>
      <xdr:row>77</xdr:row>
      <xdr:rowOff>53340</xdr:rowOff>
    </xdr:to>
    <xdr:pic>
      <xdr:nvPicPr>
        <xdr:cNvPr id="513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72900" y="13174980"/>
          <a:ext cx="3162300" cy="18821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</xdr:row>
      <xdr:rowOff>0</xdr:rowOff>
    </xdr:from>
    <xdr:to>
      <xdr:col>25</xdr:col>
      <xdr:colOff>7620</xdr:colOff>
      <xdr:row>22</xdr:row>
      <xdr:rowOff>0</xdr:rowOff>
    </xdr:to>
    <xdr:cxnSp macro="">
      <xdr:nvCxnSpPr>
        <xdr:cNvPr id="5" name="Lige pilforbindelse 4"/>
        <xdr:cNvCxnSpPr/>
      </xdr:nvCxnSpPr>
      <xdr:spPr>
        <a:xfrm flipV="1">
          <a:off x="12603480" y="182880"/>
          <a:ext cx="7620" cy="384048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12</xdr:row>
      <xdr:rowOff>0</xdr:rowOff>
    </xdr:from>
    <xdr:to>
      <xdr:col>36</xdr:col>
      <xdr:colOff>0</xdr:colOff>
      <xdr:row>12</xdr:row>
      <xdr:rowOff>0</xdr:rowOff>
    </xdr:to>
    <xdr:cxnSp macro="">
      <xdr:nvCxnSpPr>
        <xdr:cNvPr id="7" name="Lige pilforbindelse 6"/>
        <xdr:cNvCxnSpPr/>
      </xdr:nvCxnSpPr>
      <xdr:spPr>
        <a:xfrm>
          <a:off x="9745980" y="2194560"/>
          <a:ext cx="5707380" cy="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</xdr:colOff>
      <xdr:row>7</xdr:row>
      <xdr:rowOff>22860</xdr:rowOff>
    </xdr:from>
    <xdr:to>
      <xdr:col>36</xdr:col>
      <xdr:colOff>7620</xdr:colOff>
      <xdr:row>18</xdr:row>
      <xdr:rowOff>220980</xdr:rowOff>
    </xdr:to>
    <xdr:cxnSp macro="">
      <xdr:nvCxnSpPr>
        <xdr:cNvPr id="11" name="Lige forbindelse 10"/>
        <xdr:cNvCxnSpPr/>
      </xdr:nvCxnSpPr>
      <xdr:spPr>
        <a:xfrm flipV="1">
          <a:off x="10553700" y="1729740"/>
          <a:ext cx="5196840" cy="288036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</xdr:colOff>
      <xdr:row>3</xdr:row>
      <xdr:rowOff>7620</xdr:rowOff>
    </xdr:from>
    <xdr:to>
      <xdr:col>36</xdr:col>
      <xdr:colOff>15240</xdr:colOff>
      <xdr:row>15</xdr:row>
      <xdr:rowOff>0</xdr:rowOff>
    </xdr:to>
    <xdr:cxnSp macro="">
      <xdr:nvCxnSpPr>
        <xdr:cNvPr id="18" name="Lige forbindelse 17"/>
        <xdr:cNvCxnSpPr/>
      </xdr:nvCxnSpPr>
      <xdr:spPr>
        <a:xfrm flipV="1">
          <a:off x="10553700" y="739140"/>
          <a:ext cx="5204460" cy="291846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289560</xdr:colOff>
      <xdr:row>14</xdr:row>
      <xdr:rowOff>76200</xdr:rowOff>
    </xdr:from>
    <xdr:to>
      <xdr:col>13</xdr:col>
      <xdr:colOff>266700</xdr:colOff>
      <xdr:row>31</xdr:row>
      <xdr:rowOff>99060</xdr:rowOff>
    </xdr:to>
    <xdr:graphicFrame macro="">
      <xdr:nvGraphicFramePr>
        <xdr:cNvPr id="23" name="Diagra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30480</xdr:colOff>
      <xdr:row>58</xdr:row>
      <xdr:rowOff>0</xdr:rowOff>
    </xdr:from>
    <xdr:to>
      <xdr:col>8</xdr:col>
      <xdr:colOff>45720</xdr:colOff>
      <xdr:row>66</xdr:row>
      <xdr:rowOff>7620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45720</xdr:colOff>
      <xdr:row>67</xdr:row>
      <xdr:rowOff>7620</xdr:rowOff>
    </xdr:from>
    <xdr:to>
      <xdr:col>8</xdr:col>
      <xdr:colOff>60960</xdr:colOff>
      <xdr:row>74</xdr:row>
      <xdr:rowOff>175260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30480</xdr:colOff>
      <xdr:row>75</xdr:row>
      <xdr:rowOff>175260</xdr:rowOff>
    </xdr:from>
    <xdr:to>
      <xdr:col>8</xdr:col>
      <xdr:colOff>76200</xdr:colOff>
      <xdr:row>84</xdr:row>
      <xdr:rowOff>7620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30480</xdr:colOff>
      <xdr:row>85</xdr:row>
      <xdr:rowOff>0</xdr:rowOff>
    </xdr:from>
    <xdr:to>
      <xdr:col>8</xdr:col>
      <xdr:colOff>99060</xdr:colOff>
      <xdr:row>93</xdr:row>
      <xdr:rowOff>7620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160020</xdr:colOff>
      <xdr:row>1</xdr:row>
      <xdr:rowOff>160020</xdr:rowOff>
    </xdr:from>
    <xdr:to>
      <xdr:col>35</xdr:col>
      <xdr:colOff>175260</xdr:colOff>
      <xdr:row>21</xdr:row>
      <xdr:rowOff>182880</xdr:rowOff>
    </xdr:to>
    <xdr:cxnSp macro="">
      <xdr:nvCxnSpPr>
        <xdr:cNvPr id="14" name="Lige forbindelse 13"/>
        <xdr:cNvCxnSpPr/>
      </xdr:nvCxnSpPr>
      <xdr:spPr>
        <a:xfrm flipV="1">
          <a:off x="10690860" y="464820"/>
          <a:ext cx="4975860" cy="4922520"/>
        </a:xfrm>
        <a:prstGeom prst="line">
          <a:avLst/>
        </a:prstGeom>
        <a:ln w="158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67</xdr:row>
      <xdr:rowOff>0</xdr:rowOff>
    </xdr:from>
    <xdr:to>
      <xdr:col>20</xdr:col>
      <xdr:colOff>198120</xdr:colOff>
      <xdr:row>75</xdr:row>
      <xdr:rowOff>38100</xdr:rowOff>
    </xdr:to>
    <xdr:pic>
      <xdr:nvPicPr>
        <xdr:cNvPr id="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311640" y="13860780"/>
          <a:ext cx="2834640" cy="1592580"/>
        </a:xfrm>
        <a:prstGeom prst="rect">
          <a:avLst/>
        </a:prstGeom>
        <a:noFill/>
      </xdr:spPr>
    </xdr:pic>
    <xdr:clientData/>
  </xdr:twoCellAnchor>
  <xdr:twoCellAnchor editAs="oneCell">
    <xdr:from>
      <xdr:col>26</xdr:col>
      <xdr:colOff>91440</xdr:colOff>
      <xdr:row>67</xdr:row>
      <xdr:rowOff>0</xdr:rowOff>
    </xdr:from>
    <xdr:to>
      <xdr:col>36</xdr:col>
      <xdr:colOff>563880</xdr:colOff>
      <xdr:row>75</xdr:row>
      <xdr:rowOff>38100</xdr:rowOff>
    </xdr:to>
    <xdr:pic>
      <xdr:nvPicPr>
        <xdr:cNvPr id="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456920" y="13860780"/>
          <a:ext cx="2834640" cy="159258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85</xdr:row>
      <xdr:rowOff>0</xdr:rowOff>
    </xdr:from>
    <xdr:to>
      <xdr:col>20</xdr:col>
      <xdr:colOff>213360</xdr:colOff>
      <xdr:row>94</xdr:row>
      <xdr:rowOff>144780</xdr:rowOff>
    </xdr:to>
    <xdr:pic>
      <xdr:nvPicPr>
        <xdr:cNvPr id="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311640" y="17426940"/>
          <a:ext cx="2849880" cy="1882140"/>
        </a:xfrm>
        <a:prstGeom prst="rect">
          <a:avLst/>
        </a:prstGeom>
        <a:noFill/>
      </xdr:spPr>
    </xdr:pic>
    <xdr:clientData/>
  </xdr:twoCellAnchor>
  <xdr:twoCellAnchor editAs="oneCell">
    <xdr:from>
      <xdr:col>26</xdr:col>
      <xdr:colOff>76200</xdr:colOff>
      <xdr:row>85</xdr:row>
      <xdr:rowOff>0</xdr:rowOff>
    </xdr:from>
    <xdr:to>
      <xdr:col>36</xdr:col>
      <xdr:colOff>563880</xdr:colOff>
      <xdr:row>94</xdr:row>
      <xdr:rowOff>144780</xdr:rowOff>
    </xdr:to>
    <xdr:pic>
      <xdr:nvPicPr>
        <xdr:cNvPr id="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441680" y="17426940"/>
          <a:ext cx="2849880" cy="188214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20</xdr:col>
      <xdr:colOff>190500</xdr:colOff>
      <xdr:row>66</xdr:row>
      <xdr:rowOff>7620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311640" y="12077700"/>
          <a:ext cx="2827020" cy="1562100"/>
        </a:xfrm>
        <a:prstGeom prst="rect">
          <a:avLst/>
        </a:prstGeom>
        <a:noFill/>
      </xdr:spPr>
    </xdr:pic>
    <xdr:clientData/>
  </xdr:twoCellAnchor>
  <xdr:twoCellAnchor editAs="oneCell">
    <xdr:from>
      <xdr:col>26</xdr:col>
      <xdr:colOff>106680</xdr:colOff>
      <xdr:row>58</xdr:row>
      <xdr:rowOff>0</xdr:rowOff>
    </xdr:from>
    <xdr:to>
      <xdr:col>36</xdr:col>
      <xdr:colOff>571500</xdr:colOff>
      <xdr:row>66</xdr:row>
      <xdr:rowOff>7620</xdr:rowOff>
    </xdr:to>
    <xdr:pic>
      <xdr:nvPicPr>
        <xdr:cNvPr id="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472160" y="12077700"/>
          <a:ext cx="2827020" cy="15621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76</xdr:row>
      <xdr:rowOff>0</xdr:rowOff>
    </xdr:from>
    <xdr:to>
      <xdr:col>21</xdr:col>
      <xdr:colOff>7620</xdr:colOff>
      <xdr:row>84</xdr:row>
      <xdr:rowOff>106680</xdr:rowOff>
    </xdr:to>
    <xdr:pic>
      <xdr:nvPicPr>
        <xdr:cNvPr id="3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311640" y="15643860"/>
          <a:ext cx="2880360" cy="1661160"/>
        </a:xfrm>
        <a:prstGeom prst="rect">
          <a:avLst/>
        </a:prstGeom>
        <a:noFill/>
      </xdr:spPr>
    </xdr:pic>
    <xdr:clientData/>
  </xdr:twoCellAnchor>
  <xdr:twoCellAnchor editAs="oneCell">
    <xdr:from>
      <xdr:col>26</xdr:col>
      <xdr:colOff>45720</xdr:colOff>
      <xdr:row>76</xdr:row>
      <xdr:rowOff>0</xdr:rowOff>
    </xdr:from>
    <xdr:to>
      <xdr:col>36</xdr:col>
      <xdr:colOff>563880</xdr:colOff>
      <xdr:row>84</xdr:row>
      <xdr:rowOff>106680</xdr:rowOff>
    </xdr:to>
    <xdr:pic>
      <xdr:nvPicPr>
        <xdr:cNvPr id="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411200" y="15643860"/>
          <a:ext cx="2880360" cy="16611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alter-lystfisker.dk/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walter-lystfisker.dk/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lter-lystfisker.dk/" TargetMode="External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da.wikipedia.org/wiki/Linjens_ligning" TargetMode="External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A299"/>
  <sheetViews>
    <sheetView tabSelected="1" zoomScaleNormal="100" workbookViewId="0">
      <selection activeCell="R19" sqref="R19"/>
    </sheetView>
  </sheetViews>
  <sheetFormatPr defaultColWidth="8.85546875" defaultRowHeight="15"/>
  <cols>
    <col min="1" max="1" width="42" style="1" bestFit="1" customWidth="1"/>
    <col min="2" max="2" width="8.85546875" style="2"/>
    <col min="3" max="3" width="10.7109375" style="3" customWidth="1"/>
    <col min="4" max="4" width="10.42578125" style="2" bestFit="1" customWidth="1"/>
    <col min="5" max="5" width="10.7109375" style="1" customWidth="1"/>
    <col min="6" max="6" width="8.85546875" style="1"/>
    <col min="7" max="7" width="8.7109375" style="1" customWidth="1"/>
    <col min="8" max="16384" width="8.85546875" style="1"/>
  </cols>
  <sheetData>
    <row r="1" spans="1:26" ht="40.15" customHeight="1">
      <c r="A1" s="175" t="s">
        <v>51</v>
      </c>
      <c r="B1" s="175"/>
      <c r="C1" s="175"/>
      <c r="D1" s="175"/>
      <c r="E1" s="175"/>
      <c r="F1" s="26"/>
      <c r="G1" s="26"/>
      <c r="H1" s="26"/>
      <c r="I1" s="26"/>
      <c r="J1" s="26"/>
      <c r="K1" s="4"/>
      <c r="L1" s="4"/>
      <c r="M1" s="4"/>
      <c r="N1" s="5"/>
      <c r="O1" s="5"/>
      <c r="P1" s="5"/>
      <c r="Q1" s="5"/>
      <c r="R1" s="5"/>
      <c r="S1" s="183" t="s">
        <v>57</v>
      </c>
      <c r="T1" s="184"/>
      <c r="U1" s="185"/>
      <c r="V1" s="19"/>
      <c r="W1" s="19"/>
      <c r="X1" s="19"/>
      <c r="Y1" s="19"/>
      <c r="Z1" s="5"/>
    </row>
    <row r="2" spans="1:26" ht="21" customHeight="1">
      <c r="A2" s="177" t="s">
        <v>55</v>
      </c>
      <c r="B2" s="177"/>
      <c r="C2" s="177"/>
      <c r="D2" s="177"/>
      <c r="E2" s="177"/>
      <c r="F2" s="69"/>
      <c r="G2" s="69"/>
      <c r="H2" s="6"/>
      <c r="I2" s="6"/>
      <c r="J2" s="6"/>
      <c r="K2" s="6"/>
      <c r="L2" s="6"/>
      <c r="M2" s="6"/>
      <c r="N2" s="5"/>
      <c r="O2" s="5"/>
      <c r="P2" s="5"/>
      <c r="Q2" s="5"/>
      <c r="R2" s="5"/>
      <c r="S2" s="180" t="s">
        <v>72</v>
      </c>
      <c r="T2" s="181"/>
      <c r="U2" s="182"/>
      <c r="V2" s="5"/>
      <c r="W2" s="5"/>
      <c r="X2" s="5"/>
      <c r="Y2" s="5"/>
      <c r="Z2" s="5"/>
    </row>
    <row r="3" spans="1:26" ht="14.45" customHeight="1">
      <c r="A3" s="40" t="s">
        <v>69</v>
      </c>
      <c r="B3" s="39" t="s">
        <v>70</v>
      </c>
      <c r="C3" s="125">
        <f t="shared" ref="C3:C8" si="0">+T3</f>
        <v>6</v>
      </c>
      <c r="D3" s="150" t="s">
        <v>2</v>
      </c>
      <c r="E3" s="41"/>
      <c r="F3" s="41"/>
      <c r="G3" s="41"/>
      <c r="H3" s="43"/>
      <c r="I3" s="43"/>
      <c r="J3" s="43"/>
      <c r="K3" s="43"/>
      <c r="L3" s="43"/>
      <c r="M3" s="43"/>
      <c r="N3" s="42"/>
      <c r="O3" s="42"/>
      <c r="P3" s="42"/>
      <c r="Q3" s="42"/>
      <c r="R3" s="5"/>
      <c r="S3" s="92" t="s">
        <v>70</v>
      </c>
      <c r="T3" s="130">
        <v>6</v>
      </c>
      <c r="U3" s="94" t="s">
        <v>2</v>
      </c>
      <c r="V3" s="5"/>
      <c r="W3" s="5"/>
      <c r="X3" s="5"/>
      <c r="Y3" s="5"/>
      <c r="Z3" s="5"/>
    </row>
    <row r="4" spans="1:26" ht="14.45" customHeight="1">
      <c r="A4" s="5" t="s">
        <v>0</v>
      </c>
      <c r="B4" s="154" t="s">
        <v>1</v>
      </c>
      <c r="C4" s="126">
        <f t="shared" si="0"/>
        <v>6</v>
      </c>
      <c r="D4" s="150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5" t="s">
        <v>1</v>
      </c>
      <c r="T4" s="131">
        <v>6</v>
      </c>
      <c r="U4" s="94" t="s">
        <v>2</v>
      </c>
      <c r="V4" s="5"/>
      <c r="W4" s="5"/>
      <c r="X4" s="5"/>
      <c r="Y4" s="5"/>
      <c r="Z4" s="5"/>
    </row>
    <row r="5" spans="1:26" ht="14.45" customHeight="1">
      <c r="A5" s="5" t="s">
        <v>3</v>
      </c>
      <c r="B5" s="154" t="s">
        <v>4</v>
      </c>
      <c r="C5" s="127">
        <f t="shared" si="0"/>
        <v>4</v>
      </c>
      <c r="D5" s="150" t="s">
        <v>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5" t="s">
        <v>4</v>
      </c>
      <c r="T5" s="132">
        <v>4</v>
      </c>
      <c r="U5" s="94" t="s">
        <v>2</v>
      </c>
      <c r="V5" s="5"/>
      <c r="W5" s="5"/>
      <c r="X5" s="5"/>
      <c r="Y5" s="5"/>
      <c r="Z5" s="5"/>
    </row>
    <row r="6" spans="1:26" ht="14.45" customHeight="1">
      <c r="A6" s="5" t="s">
        <v>5</v>
      </c>
      <c r="B6" s="154" t="s">
        <v>6</v>
      </c>
      <c r="C6" s="128">
        <f t="shared" si="0"/>
        <v>1</v>
      </c>
      <c r="D6" s="150" t="s">
        <v>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95" t="s">
        <v>6</v>
      </c>
      <c r="T6" s="133">
        <v>1</v>
      </c>
      <c r="U6" s="94" t="s">
        <v>2</v>
      </c>
      <c r="V6" s="5"/>
      <c r="W6" s="5"/>
      <c r="X6" s="5"/>
      <c r="Y6" s="5"/>
      <c r="Z6" s="5"/>
    </row>
    <row r="7" spans="1:26" ht="14.45" customHeight="1">
      <c r="A7" s="5" t="s">
        <v>7</v>
      </c>
      <c r="B7" s="154" t="s">
        <v>8</v>
      </c>
      <c r="C7" s="129">
        <f t="shared" si="0"/>
        <v>1</v>
      </c>
      <c r="D7" s="150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5" t="s">
        <v>8</v>
      </c>
      <c r="T7" s="134">
        <v>1</v>
      </c>
      <c r="U7" s="94" t="s">
        <v>2</v>
      </c>
      <c r="V7" s="5"/>
      <c r="W7" s="5"/>
      <c r="X7" s="5"/>
      <c r="Y7" s="5"/>
      <c r="Z7" s="5"/>
    </row>
    <row r="8" spans="1:26" ht="14.45" customHeight="1">
      <c r="A8" s="5" t="s">
        <v>9</v>
      </c>
      <c r="B8" s="154" t="s">
        <v>10</v>
      </c>
      <c r="C8" s="170">
        <f t="shared" si="0"/>
        <v>0.01</v>
      </c>
      <c r="D8" s="15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6" t="s">
        <v>10</v>
      </c>
      <c r="T8" s="135">
        <v>0.01</v>
      </c>
      <c r="U8" s="68" t="s">
        <v>2</v>
      </c>
      <c r="V8" s="5"/>
      <c r="W8" s="5"/>
      <c r="X8" s="5"/>
      <c r="Y8" s="5"/>
      <c r="Z8" s="5"/>
    </row>
    <row r="9" spans="1:26" ht="21" customHeight="1">
      <c r="A9" s="176" t="s">
        <v>57</v>
      </c>
      <c r="B9" s="176"/>
      <c r="C9" s="168"/>
      <c r="D9" s="168"/>
      <c r="E9" s="8"/>
      <c r="F9" s="179" t="str">
        <f>IF(AND(F10&gt;0,F11&gt;0),"Select Pos m Pos b",IF(AND(F10&gt;0,F11&lt;0),"Select Pos m Neg b",IF(AND(F10&lt;0,F11&gt;0),"Select Neg m Pos b",IF(AND(F10&lt;0,F11&lt;0),"Select Neg m Neg b","Try again"))))</f>
        <v>Select Pos m Pos b</v>
      </c>
      <c r="G9" s="179"/>
      <c r="H9" s="89"/>
      <c r="I9" s="151" t="str">
        <f>IF(AND(F10&gt;0,F11&gt;0),"OK","Try again")</f>
        <v>OK</v>
      </c>
      <c r="J9" s="186" t="s">
        <v>86</v>
      </c>
      <c r="K9" s="186"/>
      <c r="L9" s="186"/>
      <c r="M9" s="173">
        <f>1+(D14/D16)</f>
        <v>3.1774193548387095</v>
      </c>
      <c r="N9" s="186" t="s">
        <v>98</v>
      </c>
      <c r="O9" s="186"/>
      <c r="P9" s="186"/>
      <c r="Q9" s="42"/>
      <c r="R9" s="5"/>
      <c r="S9" s="5"/>
      <c r="T9" s="5"/>
      <c r="U9" s="5"/>
      <c r="V9" s="5"/>
      <c r="W9" s="5"/>
      <c r="X9" s="5"/>
      <c r="Y9" s="5"/>
      <c r="Z9" s="5"/>
    </row>
    <row r="10" spans="1:26" ht="14.45" customHeight="1">
      <c r="A10" s="5" t="s">
        <v>11</v>
      </c>
      <c r="B10" s="150" t="s">
        <v>12</v>
      </c>
      <c r="C10" s="9" t="s">
        <v>15</v>
      </c>
      <c r="D10" s="9"/>
      <c r="E10" s="9"/>
      <c r="F10" s="28">
        <f>(C5-C6)/(C7-C8)</f>
        <v>3.0303030303030303</v>
      </c>
      <c r="G10" s="150" t="s">
        <v>67</v>
      </c>
      <c r="H10" s="49">
        <f>ABS(F10)</f>
        <v>3.0303030303030303</v>
      </c>
      <c r="I10" s="38"/>
      <c r="J10" s="178" t="s">
        <v>87</v>
      </c>
      <c r="K10" s="178"/>
      <c r="L10" s="178"/>
      <c r="M10" s="178"/>
      <c r="N10" s="178"/>
      <c r="O10" s="178"/>
      <c r="P10" s="178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45" customHeight="1">
      <c r="A11" s="5" t="s">
        <v>13</v>
      </c>
      <c r="B11" s="150" t="s">
        <v>14</v>
      </c>
      <c r="C11" s="10" t="s">
        <v>16</v>
      </c>
      <c r="D11" s="10"/>
      <c r="E11" s="10"/>
      <c r="F11" s="28">
        <f>C6-(F10*C8)</f>
        <v>0.96969696969696972</v>
      </c>
      <c r="G11" s="150" t="s">
        <v>68</v>
      </c>
      <c r="H11" s="49">
        <f>ABS(F11)</f>
        <v>0.96969696969696972</v>
      </c>
      <c r="I11" s="38"/>
      <c r="J11" s="38"/>
      <c r="K11" s="38"/>
      <c r="L11" s="38"/>
      <c r="M11" s="38"/>
      <c r="N11" s="38"/>
      <c r="O11" s="38"/>
      <c r="P11" s="3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45" customHeight="1">
      <c r="A12" s="5"/>
      <c r="B12" s="150"/>
      <c r="C12" s="22"/>
      <c r="D12" s="34"/>
      <c r="E12" s="5"/>
      <c r="F12" s="178"/>
      <c r="G12" s="178"/>
      <c r="H12" s="9"/>
      <c r="I12" s="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45" customHeight="1">
      <c r="A13" s="5" t="s">
        <v>17</v>
      </c>
      <c r="B13" s="150" t="s">
        <v>19</v>
      </c>
      <c r="C13" s="103">
        <v>10000</v>
      </c>
      <c r="D13" s="50">
        <f>+C13</f>
        <v>10000</v>
      </c>
      <c r="E13" s="17" t="s">
        <v>38</v>
      </c>
      <c r="F13" s="29">
        <f>+D13/1000</f>
        <v>10</v>
      </c>
      <c r="G13" s="17" t="s">
        <v>39</v>
      </c>
      <c r="H13" s="191" t="s">
        <v>107</v>
      </c>
      <c r="I13" s="191"/>
      <c r="J13" s="191"/>
      <c r="K13" s="191" t="s">
        <v>53</v>
      </c>
      <c r="L13" s="19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45" customHeight="1">
      <c r="A14" s="5" t="s">
        <v>20</v>
      </c>
      <c r="B14" s="150" t="s">
        <v>21</v>
      </c>
      <c r="C14" s="103">
        <v>27000</v>
      </c>
      <c r="D14" s="50">
        <f>+C14</f>
        <v>27000</v>
      </c>
      <c r="E14" s="17" t="s">
        <v>38</v>
      </c>
      <c r="F14" s="29">
        <f>+D14/1000</f>
        <v>27</v>
      </c>
      <c r="G14" s="17" t="s">
        <v>39</v>
      </c>
      <c r="H14" s="63" t="s">
        <v>6</v>
      </c>
      <c r="I14" s="64">
        <f>F10*C26+F11</f>
        <v>1</v>
      </c>
      <c r="J14" s="65" t="s">
        <v>2</v>
      </c>
      <c r="K14" s="70">
        <v>0.99839999999999995</v>
      </c>
      <c r="L14" s="24" t="s">
        <v>2</v>
      </c>
      <c r="M14" s="192" t="s">
        <v>92</v>
      </c>
      <c r="N14" s="192"/>
      <c r="O14" s="192"/>
      <c r="P14" s="193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45" customHeight="1">
      <c r="A15" s="5" t="s">
        <v>30</v>
      </c>
      <c r="B15" s="150" t="s">
        <v>18</v>
      </c>
      <c r="C15" s="50">
        <f>C4*C13*F10/F11</f>
        <v>187500</v>
      </c>
      <c r="D15" s="103">
        <v>187000</v>
      </c>
      <c r="E15" s="17" t="s">
        <v>38</v>
      </c>
      <c r="F15" s="29">
        <f>+D15/1000</f>
        <v>187</v>
      </c>
      <c r="G15" s="17" t="s">
        <v>39</v>
      </c>
      <c r="H15" s="66" t="s">
        <v>4</v>
      </c>
      <c r="I15" s="67">
        <f>F10*D26+F11</f>
        <v>4</v>
      </c>
      <c r="J15" s="68" t="s">
        <v>2</v>
      </c>
      <c r="K15" s="25">
        <v>3.984</v>
      </c>
      <c r="L15" s="152" t="s">
        <v>2</v>
      </c>
      <c r="M15" s="194"/>
      <c r="N15" s="194"/>
      <c r="O15" s="194"/>
      <c r="P15" s="19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45" customHeight="1">
      <c r="A16" s="5" t="s">
        <v>31</v>
      </c>
      <c r="B16" s="150" t="s">
        <v>22</v>
      </c>
      <c r="C16" s="50">
        <f>(C15*C14)/(F10*(C13+C15)-C15)</f>
        <v>12317.972350230413</v>
      </c>
      <c r="D16" s="103">
        <v>12400</v>
      </c>
      <c r="E16" s="17" t="s">
        <v>38</v>
      </c>
      <c r="F16" s="32">
        <f>+D16/1000</f>
        <v>12.4</v>
      </c>
      <c r="G16" s="17" t="s">
        <v>39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customHeight="1">
      <c r="A17" s="176" t="s">
        <v>62</v>
      </c>
      <c r="B17" s="176"/>
      <c r="C17" s="176"/>
      <c r="D17" s="176"/>
      <c r="E17" s="176"/>
      <c r="F17" s="8"/>
      <c r="G17" s="8"/>
      <c r="H17" s="5"/>
      <c r="I17" s="5"/>
      <c r="J17" s="5"/>
      <c r="K17" s="37"/>
      <c r="L17" s="37"/>
      <c r="M17" s="36"/>
      <c r="N17" s="36"/>
      <c r="O17" s="36"/>
      <c r="P17" s="36"/>
      <c r="Q17" s="5"/>
      <c r="R17" s="5"/>
      <c r="S17" s="5"/>
      <c r="T17" s="139"/>
      <c r="U17" s="5"/>
      <c r="V17" s="5"/>
      <c r="W17" s="5"/>
      <c r="X17" s="5"/>
      <c r="Y17" s="5"/>
      <c r="Z17" s="5"/>
    </row>
    <row r="18" spans="1:26" ht="21" customHeight="1">
      <c r="A18" s="176" t="s">
        <v>96</v>
      </c>
      <c r="B18" s="176"/>
      <c r="C18" s="176"/>
      <c r="D18" s="176"/>
      <c r="E18" s="176"/>
      <c r="F18" s="8"/>
      <c r="G18" s="8"/>
      <c r="H18" s="5"/>
      <c r="I18" s="5"/>
      <c r="J18" s="19"/>
      <c r="K18" s="5"/>
      <c r="L18" s="78"/>
      <c r="M18" s="78"/>
      <c r="N18" s="78"/>
      <c r="O18" s="78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 t="s">
        <v>83</v>
      </c>
      <c r="B19" s="150" t="s">
        <v>82</v>
      </c>
      <c r="C19" s="103">
        <v>33860</v>
      </c>
      <c r="D19" s="150" t="s">
        <v>23</v>
      </c>
      <c r="E19" s="29">
        <f>+C19/1000</f>
        <v>33.86</v>
      </c>
      <c r="F19" s="150" t="s">
        <v>27</v>
      </c>
      <c r="G19" s="28">
        <f>E19/1000</f>
        <v>3.3860000000000001E-2</v>
      </c>
      <c r="H19" s="150" t="s">
        <v>28</v>
      </c>
      <c r="I19" s="150"/>
      <c r="J19" s="150"/>
      <c r="K19" s="5"/>
      <c r="L19" s="140"/>
      <c r="M19" s="140"/>
      <c r="N19" s="140"/>
      <c r="O19" s="14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 t="s">
        <v>32</v>
      </c>
      <c r="B20" s="150" t="s">
        <v>33</v>
      </c>
      <c r="C20" s="51">
        <f>(1/(2*PI()*D13*C19))*10^6</f>
        <v>4.7003822531569794E-4</v>
      </c>
      <c r="D20" s="150" t="s">
        <v>24</v>
      </c>
      <c r="E20" s="30">
        <f>C20*1000</f>
        <v>0.47003822531569794</v>
      </c>
      <c r="F20" s="150" t="s">
        <v>25</v>
      </c>
      <c r="G20" s="31">
        <f>E20*1000</f>
        <v>470.03822531569796</v>
      </c>
      <c r="H20" s="150" t="s">
        <v>26</v>
      </c>
      <c r="I20" s="5"/>
      <c r="J20" s="5"/>
      <c r="K20" s="189"/>
      <c r="L20" s="189"/>
      <c r="M20" s="189"/>
      <c r="N20" s="189"/>
      <c r="O20" s="18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>
      <c r="A21" s="176" t="s">
        <v>97</v>
      </c>
      <c r="B21" s="176"/>
      <c r="C21" s="176"/>
      <c r="D21" s="176"/>
      <c r="E21" s="176"/>
      <c r="F21" s="8"/>
      <c r="G21" s="8"/>
      <c r="H21" s="19"/>
      <c r="I21" s="19"/>
      <c r="J21" s="19"/>
      <c r="K21" s="189" t="s">
        <v>84</v>
      </c>
      <c r="L21" s="189"/>
      <c r="M21" s="189"/>
      <c r="N21" s="189"/>
      <c r="O21" s="18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 t="s">
        <v>94</v>
      </c>
      <c r="B22" s="47" t="s">
        <v>33</v>
      </c>
      <c r="C22" s="104">
        <v>470</v>
      </c>
      <c r="D22" s="47" t="s">
        <v>26</v>
      </c>
      <c r="E22" s="28">
        <f>C22/1000</f>
        <v>0.47</v>
      </c>
      <c r="F22" s="47" t="s">
        <v>25</v>
      </c>
      <c r="G22" s="28">
        <f>E22/1000</f>
        <v>4.6999999999999999E-4</v>
      </c>
      <c r="H22" s="48" t="s">
        <v>24</v>
      </c>
      <c r="I22" s="5"/>
      <c r="J22" s="5"/>
      <c r="K22" s="190" t="s">
        <v>85</v>
      </c>
      <c r="L22" s="190"/>
      <c r="M22" s="190"/>
      <c r="N22" s="190"/>
      <c r="O22" s="19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 t="s">
        <v>106</v>
      </c>
      <c r="B23" s="150" t="s">
        <v>82</v>
      </c>
      <c r="C23" s="50">
        <f>(1/(2*PI()*D13*C22*10^-12))</f>
        <v>33862.753849339431</v>
      </c>
      <c r="D23" s="150" t="s">
        <v>23</v>
      </c>
      <c r="E23" s="22">
        <f>C23/1000</f>
        <v>33.862753849339434</v>
      </c>
      <c r="F23" s="150" t="s">
        <v>27</v>
      </c>
      <c r="G23" s="28">
        <f>E23/1000</f>
        <v>3.3862753849339434E-2</v>
      </c>
      <c r="H23" s="150" t="s">
        <v>28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customHeight="1">
      <c r="A24" s="176" t="s">
        <v>90</v>
      </c>
      <c r="B24" s="176"/>
      <c r="C24" s="176"/>
      <c r="D24" s="176"/>
      <c r="E24" s="176"/>
      <c r="F24" s="8"/>
      <c r="G24" s="8"/>
      <c r="H24" s="19"/>
      <c r="I24" s="19"/>
      <c r="J24" s="19"/>
      <c r="K24" s="187" t="s">
        <v>170</v>
      </c>
      <c r="L24" s="187"/>
      <c r="M24" s="187"/>
      <c r="N24" s="187"/>
      <c r="O24" s="18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11" t="s">
        <v>104</v>
      </c>
      <c r="B25" s="150"/>
      <c r="C25" s="71">
        <f>+C6</f>
        <v>1</v>
      </c>
      <c r="D25" s="71">
        <f>+C5</f>
        <v>4</v>
      </c>
      <c r="E25" s="5"/>
      <c r="F25" s="150" t="s">
        <v>52</v>
      </c>
      <c r="G25" s="5">
        <f>+F10</f>
        <v>3.0303030303030303</v>
      </c>
      <c r="H25" s="5"/>
      <c r="I25" s="5"/>
      <c r="J25" s="5"/>
      <c r="K25" s="5"/>
      <c r="L25" s="5"/>
      <c r="M25" s="5"/>
      <c r="N25" s="5"/>
      <c r="O25" s="37"/>
      <c r="P25" s="5"/>
      <c r="Q25" s="5"/>
      <c r="R25" s="178"/>
      <c r="S25" s="178"/>
      <c r="T25" s="178"/>
      <c r="U25" s="5"/>
      <c r="V25" s="5"/>
      <c r="W25" s="5"/>
      <c r="X25" s="5"/>
      <c r="Y25" s="5"/>
      <c r="Z25" s="5"/>
    </row>
    <row r="26" spans="1:26">
      <c r="A26" s="11" t="s">
        <v>36</v>
      </c>
      <c r="B26" s="150"/>
      <c r="C26" s="73">
        <f>+C8</f>
        <v>0.01</v>
      </c>
      <c r="D26" s="73">
        <f>+C7</f>
        <v>1</v>
      </c>
      <c r="E26" s="5"/>
      <c r="F26" s="150" t="s">
        <v>103</v>
      </c>
      <c r="G26" s="5">
        <f>+F11</f>
        <v>0.96969696969696972</v>
      </c>
      <c r="H26" s="5"/>
      <c r="I26" s="5"/>
      <c r="J26" s="5"/>
      <c r="K26" s="5"/>
      <c r="L26" s="5"/>
      <c r="M26" s="5"/>
      <c r="N26" s="5"/>
      <c r="O26" s="37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15" t="s">
        <v>91</v>
      </c>
      <c r="B27" s="150"/>
      <c r="C27" s="72">
        <f>(F10*C26)+F11</f>
        <v>1</v>
      </c>
      <c r="D27" s="72">
        <f>(F10*D26)+F11</f>
        <v>4</v>
      </c>
      <c r="E27" s="14"/>
      <c r="F27" s="5"/>
      <c r="G27" s="5"/>
      <c r="H27" s="14"/>
      <c r="I27" s="14"/>
      <c r="J27" s="14"/>
      <c r="K27" s="5"/>
      <c r="L27" s="5"/>
      <c r="M27" s="5"/>
      <c r="N27" s="5"/>
      <c r="O27" s="3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/>
      <c r="B28" s="150"/>
      <c r="C28" s="59"/>
      <c r="D28" s="9"/>
      <c r="E28" s="5"/>
      <c r="F28" s="5"/>
      <c r="G28" s="5"/>
      <c r="H28" s="5"/>
      <c r="I28" s="5"/>
      <c r="J28" s="5"/>
      <c r="K28" s="5"/>
      <c r="L28" s="5"/>
      <c r="M28" s="5"/>
      <c r="N28" s="5"/>
      <c r="O28" s="37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/>
      <c r="B29" s="150"/>
      <c r="C29" s="7"/>
      <c r="D29" s="150"/>
      <c r="E29" s="5"/>
      <c r="F29" s="5"/>
      <c r="G29" s="5"/>
      <c r="H29" s="5"/>
      <c r="I29" s="5"/>
      <c r="J29" s="5"/>
      <c r="K29" s="5"/>
      <c r="L29" s="5"/>
      <c r="M29" s="5"/>
      <c r="N29" s="5"/>
      <c r="O29" s="37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150"/>
      <c r="C30" s="7"/>
      <c r="D30" s="150"/>
      <c r="E30" s="5"/>
      <c r="F30" s="5"/>
      <c r="G30" s="5"/>
      <c r="H30" s="5"/>
      <c r="I30" s="5"/>
      <c r="J30" s="5"/>
      <c r="K30" s="5"/>
      <c r="L30" s="5"/>
      <c r="M30" s="5"/>
      <c r="N30" s="5"/>
      <c r="O30" s="3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150"/>
      <c r="C31" s="7"/>
      <c r="D31" s="150"/>
      <c r="E31" s="5"/>
      <c r="F31" s="5"/>
      <c r="G31" s="5"/>
      <c r="H31" s="5"/>
      <c r="I31" s="5"/>
      <c r="J31" s="5"/>
      <c r="K31" s="5"/>
      <c r="L31" s="5"/>
      <c r="M31" s="5"/>
      <c r="N31" s="5"/>
      <c r="O31" s="37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150"/>
      <c r="C32" s="7"/>
      <c r="D32" s="150"/>
      <c r="E32" s="5"/>
      <c r="F32" s="5"/>
      <c r="G32" s="5"/>
      <c r="H32" s="5"/>
      <c r="I32" s="5"/>
      <c r="J32" s="5"/>
      <c r="K32" s="5"/>
      <c r="L32" s="5"/>
      <c r="M32" s="5"/>
      <c r="N32" s="5"/>
      <c r="O32" s="37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150"/>
      <c r="C33" s="7"/>
      <c r="D33" s="150"/>
      <c r="E33" s="5"/>
      <c r="F33" s="5"/>
      <c r="G33" s="5"/>
      <c r="H33" s="5"/>
      <c r="I33" s="5"/>
      <c r="J33" s="5"/>
      <c r="K33" s="5"/>
      <c r="L33" s="5"/>
      <c r="M33" s="5"/>
      <c r="N33" s="5"/>
      <c r="O33" s="37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150"/>
      <c r="C34" s="7"/>
      <c r="D34" s="150"/>
      <c r="E34" s="5"/>
      <c r="F34" s="5"/>
      <c r="G34" s="5"/>
      <c r="H34" s="5"/>
      <c r="I34" s="5"/>
      <c r="J34" s="5"/>
      <c r="K34" s="5"/>
      <c r="L34" s="5"/>
      <c r="M34" s="5"/>
      <c r="N34" s="5"/>
      <c r="O34" s="37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150"/>
      <c r="C35" s="7"/>
      <c r="D35" s="150"/>
      <c r="E35" s="5"/>
      <c r="F35" s="5"/>
      <c r="G35" s="5"/>
      <c r="H35" s="5"/>
      <c r="I35" s="5"/>
      <c r="J35" s="5"/>
      <c r="K35" s="5"/>
      <c r="L35" s="5"/>
      <c r="M35" s="5"/>
      <c r="N35" s="5"/>
      <c r="O35" s="37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150"/>
      <c r="C36" s="7"/>
      <c r="D36" s="150"/>
      <c r="E36" s="5"/>
      <c r="F36" s="5"/>
      <c r="G36" s="5"/>
      <c r="H36" s="5"/>
      <c r="I36" s="5"/>
      <c r="J36" s="5"/>
      <c r="K36" s="5"/>
      <c r="L36" s="5"/>
      <c r="M36" s="5"/>
      <c r="N36" s="5"/>
      <c r="O36" s="37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150"/>
      <c r="C37" s="7"/>
      <c r="D37" s="150"/>
      <c r="E37" s="5"/>
      <c r="F37" s="5"/>
      <c r="G37" s="5"/>
      <c r="H37" s="5"/>
      <c r="I37" s="5"/>
      <c r="J37" s="5"/>
      <c r="K37" s="5"/>
      <c r="L37" s="5"/>
      <c r="M37" s="5"/>
      <c r="N37" s="5"/>
      <c r="O37" s="37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150"/>
      <c r="C38" s="7"/>
      <c r="D38" s="150"/>
      <c r="E38" s="5"/>
      <c r="F38" s="5"/>
      <c r="G38" s="5"/>
      <c r="H38" s="5"/>
      <c r="I38" s="5"/>
      <c r="J38" s="5"/>
      <c r="K38" s="5"/>
      <c r="L38" s="5"/>
      <c r="M38" s="5"/>
      <c r="N38" s="5"/>
      <c r="O38" s="37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150"/>
      <c r="C39" s="7"/>
      <c r="D39" s="150"/>
      <c r="E39" s="5"/>
      <c r="F39" s="5"/>
      <c r="G39" s="5"/>
      <c r="H39" s="5"/>
      <c r="I39" s="5"/>
      <c r="J39" s="5"/>
      <c r="K39" s="5"/>
      <c r="L39" s="5"/>
      <c r="M39" s="5"/>
      <c r="N39" s="5"/>
      <c r="O39" s="37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150"/>
      <c r="C40" s="7"/>
      <c r="D40" s="150"/>
      <c r="E40" s="5"/>
      <c r="F40" s="5"/>
      <c r="G40" s="5"/>
      <c r="H40" s="5"/>
      <c r="I40" s="5"/>
      <c r="J40" s="5"/>
      <c r="K40" s="5"/>
      <c r="L40" s="5"/>
      <c r="M40" s="5"/>
      <c r="N40" s="5"/>
      <c r="O40" s="37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150"/>
      <c r="C41" s="7"/>
      <c r="D41" s="150"/>
      <c r="E41" s="5"/>
      <c r="F41" s="5"/>
      <c r="G41" s="5"/>
      <c r="H41" s="5"/>
      <c r="I41" s="5"/>
      <c r="J41" s="5"/>
      <c r="K41" s="5"/>
      <c r="L41" s="5"/>
      <c r="M41" s="5"/>
      <c r="N41" s="5"/>
      <c r="O41" s="37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150"/>
      <c r="C42" s="7"/>
      <c r="D42" s="150"/>
      <c r="E42" s="5"/>
      <c r="F42" s="5"/>
      <c r="G42" s="5"/>
      <c r="H42" s="5"/>
      <c r="I42" s="5"/>
      <c r="J42" s="5"/>
      <c r="K42" s="5"/>
      <c r="L42" s="5"/>
      <c r="M42" s="5"/>
      <c r="N42" s="5"/>
      <c r="O42" s="37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150"/>
      <c r="C43" s="7"/>
      <c r="D43" s="150"/>
      <c r="E43" s="5"/>
      <c r="F43" s="5"/>
      <c r="G43" s="5"/>
      <c r="H43" s="5"/>
      <c r="I43" s="5"/>
      <c r="J43" s="5"/>
      <c r="K43" s="5"/>
      <c r="L43" s="5"/>
      <c r="M43" s="5"/>
      <c r="N43" s="5"/>
      <c r="O43" s="37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16"/>
      <c r="B44" s="150"/>
      <c r="C44" s="7"/>
      <c r="D44" s="150"/>
      <c r="E44" s="5"/>
      <c r="F44" s="5"/>
      <c r="G44" s="5"/>
      <c r="H44" s="5"/>
      <c r="I44" s="5"/>
      <c r="J44" s="5"/>
      <c r="K44" s="5"/>
      <c r="L44" s="5"/>
      <c r="M44" s="5"/>
      <c r="N44" s="5"/>
      <c r="O44" s="37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150"/>
      <c r="C45" s="7"/>
      <c r="D45" s="150"/>
      <c r="E45" s="5"/>
      <c r="F45" s="5"/>
      <c r="G45" s="5"/>
      <c r="H45" s="5"/>
      <c r="I45" s="5"/>
      <c r="J45" s="5"/>
      <c r="K45" s="5"/>
      <c r="L45" s="5"/>
      <c r="M45" s="5"/>
      <c r="N45" s="5"/>
      <c r="O45" s="37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150"/>
      <c r="C46" s="7"/>
      <c r="D46" s="150"/>
      <c r="E46" s="5"/>
      <c r="F46" s="5"/>
      <c r="G46" s="5"/>
      <c r="H46" s="5"/>
      <c r="I46" s="5"/>
      <c r="J46" s="5"/>
      <c r="K46" s="5"/>
      <c r="L46" s="5"/>
      <c r="M46" s="5"/>
      <c r="N46" s="5"/>
      <c r="O46" s="37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150"/>
      <c r="C47" s="7"/>
      <c r="D47" s="150"/>
      <c r="E47" s="5"/>
      <c r="F47" s="5"/>
      <c r="G47" s="5"/>
      <c r="H47" s="5"/>
      <c r="I47" s="5"/>
      <c r="J47" s="5"/>
      <c r="K47" s="5"/>
      <c r="L47" s="5"/>
      <c r="M47" s="5"/>
      <c r="N47" s="5"/>
      <c r="O47" s="37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150"/>
      <c r="C48" s="7"/>
      <c r="D48" s="150"/>
      <c r="E48" s="5"/>
      <c r="F48" s="5"/>
      <c r="G48" s="5"/>
      <c r="H48" s="5"/>
      <c r="I48" s="5"/>
      <c r="J48" s="5"/>
      <c r="K48" s="5"/>
      <c r="L48" s="5"/>
      <c r="M48" s="5"/>
      <c r="N48" s="5"/>
      <c r="O48" s="37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.75">
      <c r="A49" s="16"/>
      <c r="B49" s="150"/>
      <c r="C49" s="164" t="s">
        <v>183</v>
      </c>
      <c r="D49" s="164"/>
      <c r="E49" s="164"/>
      <c r="F49" s="164"/>
      <c r="G49" s="5"/>
      <c r="H49" s="5"/>
      <c r="I49" s="5"/>
      <c r="J49" s="5"/>
      <c r="K49" s="5"/>
      <c r="L49" s="5"/>
      <c r="M49" s="5"/>
      <c r="N49" s="5"/>
      <c r="O49" s="145"/>
      <c r="P49" s="142"/>
      <c r="Q49" s="142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150"/>
      <c r="C50" s="7"/>
      <c r="D50" s="150"/>
      <c r="E50" s="5"/>
      <c r="F50" s="5"/>
      <c r="G50" s="5"/>
      <c r="H50" s="5"/>
      <c r="I50" s="5"/>
      <c r="J50" s="5"/>
      <c r="K50" s="5"/>
      <c r="L50" s="5"/>
      <c r="M50" s="5"/>
      <c r="N50" s="5"/>
      <c r="O50" s="37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150"/>
      <c r="C51" s="7"/>
      <c r="D51" s="150"/>
      <c r="E51" s="5"/>
      <c r="F51" s="5"/>
      <c r="G51" s="5"/>
      <c r="H51" s="5"/>
      <c r="I51" s="5"/>
      <c r="J51" s="5"/>
      <c r="K51" s="5"/>
      <c r="L51" s="5"/>
      <c r="M51" s="5"/>
      <c r="N51" s="5"/>
      <c r="O51" s="37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150"/>
      <c r="C52" s="7"/>
      <c r="D52" s="150"/>
      <c r="E52" s="5"/>
      <c r="F52" s="5"/>
      <c r="G52" s="5"/>
      <c r="H52" s="5"/>
      <c r="I52" s="5"/>
      <c r="J52" s="5"/>
      <c r="K52" s="5"/>
      <c r="L52" s="5"/>
      <c r="M52" s="5"/>
      <c r="N52" s="5"/>
      <c r="O52" s="37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150"/>
      <c r="C53" s="7"/>
      <c r="D53" s="150"/>
      <c r="E53" s="5"/>
      <c r="F53" s="5"/>
      <c r="G53" s="5"/>
      <c r="H53" s="5"/>
      <c r="I53" s="5"/>
      <c r="J53" s="5"/>
      <c r="K53" s="5"/>
      <c r="L53" s="5"/>
      <c r="M53" s="5"/>
      <c r="N53" s="5"/>
      <c r="O53" s="37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150"/>
      <c r="C54" s="7"/>
      <c r="D54" s="150"/>
      <c r="E54" s="5"/>
      <c r="F54" s="5"/>
      <c r="G54" s="5"/>
      <c r="H54" s="5"/>
      <c r="I54" s="5"/>
      <c r="J54" s="5"/>
      <c r="K54" s="5"/>
      <c r="L54" s="5"/>
      <c r="M54" s="5"/>
      <c r="N54" s="5"/>
      <c r="O54" s="37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150"/>
      <c r="C55" s="7"/>
      <c r="D55" s="150"/>
      <c r="E55" s="5"/>
      <c r="F55" s="5"/>
      <c r="G55" s="5"/>
      <c r="H55" s="5"/>
      <c r="I55" s="5"/>
      <c r="J55" s="5"/>
      <c r="K55" s="5"/>
      <c r="L55" s="5"/>
      <c r="M55" s="5"/>
      <c r="N55" s="5"/>
      <c r="O55" s="37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150"/>
      <c r="C56" s="7"/>
      <c r="D56" s="150"/>
      <c r="E56" s="5"/>
      <c r="F56" s="5"/>
      <c r="G56" s="5"/>
      <c r="H56" s="5"/>
      <c r="I56" s="5"/>
      <c r="J56" s="5"/>
      <c r="K56" s="5"/>
      <c r="L56" s="5"/>
      <c r="M56" s="5"/>
      <c r="N56" s="5"/>
      <c r="O56" s="37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150"/>
      <c r="C57" s="7"/>
      <c r="D57" s="150"/>
      <c r="E57" s="5"/>
      <c r="F57" s="5"/>
      <c r="G57" s="5"/>
      <c r="H57" s="5"/>
      <c r="I57" s="5"/>
      <c r="J57" s="5"/>
      <c r="K57" s="5"/>
      <c r="L57" s="5"/>
      <c r="M57" s="5"/>
      <c r="N57" s="5"/>
      <c r="O57" s="37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150"/>
      <c r="C58" s="7"/>
      <c r="D58" s="150"/>
      <c r="E58" s="5"/>
      <c r="F58" s="5"/>
      <c r="G58" s="5"/>
      <c r="H58" s="5"/>
      <c r="I58" s="5"/>
      <c r="J58" s="5"/>
      <c r="K58" s="5"/>
      <c r="L58" s="5"/>
      <c r="M58" s="5"/>
      <c r="N58" s="5"/>
      <c r="O58" s="37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150"/>
      <c r="C59" s="7"/>
      <c r="D59" s="150"/>
      <c r="E59" s="5"/>
      <c r="F59" s="5"/>
      <c r="G59" s="5"/>
      <c r="H59" s="5"/>
      <c r="I59" s="5"/>
      <c r="J59" s="5"/>
      <c r="K59" s="5"/>
      <c r="L59" s="5"/>
      <c r="M59" s="5"/>
      <c r="N59" s="5"/>
      <c r="O59" s="37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150"/>
      <c r="C60" s="7"/>
      <c r="D60" s="150"/>
      <c r="E60" s="5"/>
      <c r="F60" s="5"/>
      <c r="G60" s="5"/>
      <c r="H60" s="5"/>
      <c r="I60" s="5"/>
      <c r="J60" s="5"/>
      <c r="K60" s="5"/>
      <c r="L60" s="5"/>
      <c r="M60" s="5"/>
      <c r="N60" s="5"/>
      <c r="O60" s="37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150"/>
      <c r="C61" s="7"/>
      <c r="D61" s="150"/>
      <c r="E61" s="5"/>
      <c r="F61" s="5"/>
      <c r="G61" s="5"/>
      <c r="H61" s="5"/>
      <c r="I61" s="5"/>
      <c r="J61" s="5"/>
      <c r="K61" s="5"/>
      <c r="L61" s="5"/>
      <c r="M61" s="5"/>
      <c r="N61" s="5"/>
      <c r="O61" s="37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150"/>
      <c r="C62" s="7"/>
      <c r="D62" s="150"/>
      <c r="E62" s="5"/>
      <c r="F62" s="5"/>
      <c r="G62" s="5"/>
      <c r="H62" s="5"/>
      <c r="I62" s="5"/>
      <c r="J62" s="5"/>
      <c r="K62" s="5"/>
      <c r="L62" s="5"/>
      <c r="M62" s="5"/>
      <c r="N62" s="5"/>
      <c r="O62" s="37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150"/>
      <c r="C63" s="7"/>
      <c r="D63" s="150"/>
      <c r="E63" s="5"/>
      <c r="F63" s="5"/>
      <c r="G63" s="5"/>
      <c r="H63" s="5"/>
      <c r="I63" s="5"/>
      <c r="J63" s="5"/>
      <c r="K63" s="5"/>
      <c r="L63" s="5"/>
      <c r="M63" s="5"/>
      <c r="N63" s="5"/>
      <c r="O63" s="37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150"/>
      <c r="C64" s="7"/>
      <c r="D64" s="150"/>
      <c r="E64" s="5"/>
      <c r="F64" s="5"/>
      <c r="G64" s="5"/>
      <c r="H64" s="5"/>
      <c r="I64" s="5"/>
      <c r="J64" s="5"/>
      <c r="K64" s="5"/>
      <c r="L64" s="5"/>
      <c r="M64" s="5"/>
      <c r="N64" s="5"/>
      <c r="O64" s="37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150"/>
      <c r="C65" s="7"/>
      <c r="D65" s="150"/>
      <c r="E65" s="5"/>
      <c r="F65" s="5"/>
      <c r="G65" s="5"/>
      <c r="H65" s="5"/>
      <c r="I65" s="5"/>
      <c r="J65" s="5"/>
      <c r="K65" s="5"/>
      <c r="L65" s="5"/>
      <c r="M65" s="5"/>
      <c r="N65" s="5"/>
      <c r="O65" s="37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150"/>
      <c r="C66" s="7"/>
      <c r="D66" s="150"/>
      <c r="E66" s="5"/>
      <c r="F66" s="5"/>
      <c r="G66" s="5"/>
      <c r="H66" s="5"/>
      <c r="I66" s="5"/>
      <c r="J66" s="5"/>
      <c r="K66" s="5"/>
      <c r="L66" s="5"/>
      <c r="M66" s="5"/>
      <c r="N66" s="5"/>
      <c r="O66" s="37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>
      <c r="A67" s="5"/>
      <c r="B67" s="150"/>
      <c r="C67" s="164" t="s">
        <v>189</v>
      </c>
      <c r="D67" s="164"/>
      <c r="E67" s="164"/>
      <c r="F67" s="164"/>
      <c r="G67" s="5"/>
      <c r="H67" s="5"/>
      <c r="I67" s="5"/>
      <c r="J67" s="5"/>
      <c r="K67" s="5"/>
      <c r="L67" s="5"/>
      <c r="M67" s="5"/>
      <c r="N67" s="5"/>
      <c r="O67" s="37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150"/>
      <c r="C68" s="7"/>
      <c r="D68" s="150"/>
      <c r="E68" s="5"/>
      <c r="F68" s="5"/>
      <c r="G68" s="5"/>
      <c r="H68" s="5"/>
      <c r="I68" s="5"/>
      <c r="J68" s="5"/>
      <c r="K68" s="5"/>
      <c r="L68" s="5"/>
      <c r="M68" s="5"/>
      <c r="N68" s="5"/>
      <c r="O68" s="3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150"/>
      <c r="C69" s="7"/>
      <c r="D69" s="150"/>
      <c r="E69" s="5"/>
      <c r="F69" s="5"/>
      <c r="G69" s="5"/>
      <c r="H69" s="5"/>
      <c r="I69" s="5"/>
      <c r="J69" s="5"/>
      <c r="K69" s="5"/>
      <c r="L69" s="5"/>
      <c r="M69" s="5"/>
      <c r="N69" s="5"/>
      <c r="O69" s="37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150"/>
      <c r="C70" s="7"/>
      <c r="D70" s="150"/>
      <c r="E70" s="5"/>
      <c r="F70" s="5"/>
      <c r="G70" s="5"/>
      <c r="H70" s="5"/>
      <c r="I70" s="5"/>
      <c r="J70" s="5"/>
      <c r="K70" s="5"/>
      <c r="L70" s="5"/>
      <c r="M70" s="5"/>
      <c r="N70" s="5"/>
      <c r="O70" s="37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150"/>
      <c r="C71" s="7"/>
      <c r="D71" s="150"/>
      <c r="E71" s="5"/>
      <c r="F71" s="5"/>
      <c r="G71" s="5"/>
      <c r="H71" s="5"/>
      <c r="I71" s="5"/>
      <c r="J71" s="5"/>
      <c r="K71" s="5"/>
      <c r="L71" s="5"/>
      <c r="M71" s="5"/>
      <c r="N71" s="5"/>
      <c r="O71" s="37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150"/>
      <c r="C72" s="7"/>
      <c r="D72" s="150"/>
      <c r="E72" s="5"/>
      <c r="F72" s="5"/>
      <c r="G72" s="5"/>
      <c r="H72" s="5"/>
      <c r="I72" s="5"/>
      <c r="J72" s="5"/>
      <c r="K72" s="5"/>
      <c r="L72" s="5"/>
      <c r="M72" s="5"/>
      <c r="N72" s="5"/>
      <c r="O72" s="37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150"/>
      <c r="C73" s="7"/>
      <c r="D73" s="150"/>
      <c r="E73" s="5"/>
      <c r="F73" s="5"/>
      <c r="G73" s="5"/>
      <c r="H73" s="5"/>
      <c r="I73" s="5"/>
      <c r="J73" s="5"/>
      <c r="K73" s="5"/>
      <c r="L73" s="5"/>
      <c r="M73" s="5"/>
      <c r="N73" s="5"/>
      <c r="O73" s="37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150"/>
      <c r="C74" s="7"/>
      <c r="D74" s="150"/>
      <c r="E74" s="5"/>
      <c r="F74" s="5"/>
      <c r="G74" s="5"/>
      <c r="H74" s="5"/>
      <c r="I74" s="5"/>
      <c r="J74" s="5"/>
      <c r="K74" s="5"/>
      <c r="L74" s="5"/>
      <c r="M74" s="5"/>
      <c r="N74" s="5"/>
      <c r="O74" s="37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150"/>
      <c r="C75" s="7"/>
      <c r="D75" s="150"/>
      <c r="E75" s="5"/>
      <c r="F75" s="5"/>
      <c r="G75" s="5"/>
      <c r="H75" s="5"/>
      <c r="I75" s="5"/>
      <c r="J75" s="5"/>
      <c r="K75" s="5"/>
      <c r="L75" s="5"/>
      <c r="M75" s="5"/>
      <c r="N75" s="5"/>
      <c r="O75" s="37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150"/>
      <c r="C76" s="7"/>
      <c r="D76" s="150"/>
      <c r="E76" s="5"/>
      <c r="F76" s="5"/>
      <c r="G76" s="5"/>
      <c r="H76" s="5"/>
      <c r="I76" s="5"/>
      <c r="J76" s="5"/>
      <c r="K76" s="5"/>
      <c r="L76" s="5"/>
      <c r="M76" s="5"/>
      <c r="N76" s="5"/>
      <c r="O76" s="37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150"/>
      <c r="C77" s="7"/>
      <c r="D77" s="150"/>
      <c r="E77" s="5"/>
      <c r="F77" s="5"/>
      <c r="G77" s="5"/>
      <c r="H77" s="5"/>
      <c r="I77" s="5"/>
      <c r="J77" s="5"/>
      <c r="K77" s="5"/>
      <c r="L77" s="5"/>
      <c r="M77" s="5"/>
      <c r="N77" s="5"/>
      <c r="O77" s="37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150"/>
      <c r="C78" s="7"/>
      <c r="D78" s="150"/>
      <c r="E78" s="5"/>
      <c r="F78" s="5"/>
      <c r="G78" s="5"/>
      <c r="H78" s="5"/>
      <c r="I78" s="5"/>
      <c r="J78" s="5"/>
      <c r="K78" s="5"/>
      <c r="L78" s="5"/>
      <c r="M78" s="5"/>
      <c r="N78" s="5"/>
      <c r="O78" s="37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150"/>
      <c r="C79" s="7"/>
      <c r="D79" s="150"/>
      <c r="E79" s="5"/>
      <c r="F79" s="5"/>
      <c r="G79" s="5"/>
      <c r="H79" s="5"/>
      <c r="I79" s="5"/>
      <c r="J79" s="5"/>
      <c r="K79" s="5"/>
      <c r="L79" s="5"/>
      <c r="M79" s="5"/>
      <c r="N79" s="5"/>
      <c r="O79" s="37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150"/>
      <c r="C80" s="7"/>
      <c r="D80" s="150"/>
      <c r="E80" s="5"/>
      <c r="F80" s="5"/>
      <c r="G80" s="5"/>
      <c r="H80" s="5"/>
      <c r="I80" s="5"/>
      <c r="J80" s="5"/>
      <c r="K80" s="5"/>
      <c r="L80" s="5"/>
      <c r="M80" s="5"/>
      <c r="N80" s="5"/>
      <c r="O80" s="37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7">
      <c r="A81" s="5"/>
      <c r="B81" s="150"/>
      <c r="C81" s="7"/>
      <c r="D81" s="150"/>
      <c r="E81" s="5"/>
      <c r="F81" s="5"/>
      <c r="G81" s="5"/>
      <c r="H81" s="5"/>
      <c r="I81" s="5"/>
      <c r="J81" s="5"/>
      <c r="K81" s="5"/>
      <c r="L81" s="5"/>
      <c r="M81" s="5"/>
      <c r="N81" s="5"/>
      <c r="O81" s="37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7">
      <c r="A82" s="5"/>
      <c r="B82" s="150"/>
      <c r="C82" s="7"/>
      <c r="D82" s="150"/>
      <c r="E82" s="5"/>
      <c r="F82" s="5"/>
      <c r="G82" s="5"/>
      <c r="H82" s="5"/>
      <c r="I82" s="5"/>
      <c r="J82" s="5"/>
      <c r="K82" s="5"/>
      <c r="L82" s="5"/>
      <c r="M82" s="5"/>
      <c r="N82" s="5"/>
      <c r="O82" s="37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7">
      <c r="A83" s="5"/>
      <c r="B83" s="150"/>
      <c r="C83" s="7"/>
      <c r="D83" s="150"/>
      <c r="E83" s="5"/>
      <c r="F83" s="5"/>
      <c r="G83" s="5"/>
      <c r="H83" s="5"/>
      <c r="I83" s="5"/>
      <c r="J83" s="5"/>
      <c r="K83" s="5"/>
      <c r="L83" s="5"/>
      <c r="M83" s="5"/>
      <c r="N83" s="5"/>
      <c r="O83" s="37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7">
      <c r="A84" s="5"/>
      <c r="B84" s="150"/>
      <c r="C84" s="7"/>
      <c r="D84" s="150"/>
      <c r="E84" s="5"/>
      <c r="F84" s="5"/>
      <c r="G84" s="5"/>
      <c r="H84" s="5"/>
      <c r="I84" s="5"/>
      <c r="J84" s="5"/>
      <c r="K84" s="5"/>
      <c r="L84" s="5"/>
      <c r="M84" s="5"/>
      <c r="N84" s="5"/>
      <c r="O84" s="37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7">
      <c r="A85" s="16" t="s">
        <v>37</v>
      </c>
      <c r="B85" s="150"/>
      <c r="C85" s="7"/>
      <c r="D85" s="150"/>
      <c r="E85" s="5"/>
      <c r="F85" s="5"/>
      <c r="G85" s="5"/>
      <c r="H85" s="5"/>
      <c r="I85" s="5"/>
      <c r="J85" s="5"/>
      <c r="K85" s="5"/>
      <c r="L85" s="5"/>
      <c r="M85" s="5"/>
      <c r="N85" s="5"/>
      <c r="O85" s="37"/>
      <c r="P85" s="5"/>
      <c r="Q85" s="5"/>
      <c r="R85" s="5"/>
      <c r="S85" s="5"/>
      <c r="T85" s="5"/>
      <c r="U85" s="5"/>
      <c r="V85" s="5"/>
      <c r="W85" s="5"/>
      <c r="X85" s="5"/>
      <c r="Y85" s="188" t="s">
        <v>190</v>
      </c>
      <c r="Z85" s="188"/>
    </row>
    <row r="86" spans="1:27">
      <c r="A86" s="162"/>
      <c r="B86" s="160"/>
      <c r="C86" s="161"/>
      <c r="D86" s="160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137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spans="1:27">
      <c r="A87" s="162"/>
      <c r="B87" s="160"/>
      <c r="C87" s="161"/>
      <c r="D87" s="160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37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spans="1:27">
      <c r="A88" s="162"/>
      <c r="B88" s="160"/>
      <c r="C88" s="161"/>
      <c r="D88" s="160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137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spans="1:27">
      <c r="A89" s="162"/>
      <c r="B89" s="160"/>
      <c r="C89" s="161"/>
      <c r="D89" s="160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137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:27">
      <c r="A90" s="162"/>
      <c r="B90" s="160"/>
      <c r="C90" s="161"/>
      <c r="D90" s="160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137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:27">
      <c r="A91" s="162"/>
      <c r="B91" s="160"/>
      <c r="C91" s="161"/>
      <c r="D91" s="160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137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spans="1:27">
      <c r="A92" s="162"/>
      <c r="B92" s="160"/>
      <c r="C92" s="161"/>
      <c r="D92" s="160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137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:27">
      <c r="A93" s="162"/>
      <c r="B93" s="160"/>
      <c r="C93" s="161"/>
      <c r="D93" s="160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137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>
      <c r="A94" s="162"/>
      <c r="B94" s="160"/>
      <c r="C94" s="161"/>
      <c r="D94" s="160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137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:27">
      <c r="A95" s="162"/>
      <c r="B95" s="160"/>
      <c r="C95" s="161"/>
      <c r="D95" s="160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137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>
      <c r="A96" s="162"/>
      <c r="B96" s="160"/>
      <c r="C96" s="161"/>
      <c r="D96" s="160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137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:27">
      <c r="A97" s="162"/>
      <c r="B97" s="160"/>
      <c r="C97" s="161"/>
      <c r="D97" s="160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137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spans="1:27">
      <c r="A98" s="162"/>
      <c r="B98" s="160"/>
      <c r="C98" s="161"/>
      <c r="D98" s="160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137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spans="1:27">
      <c r="A99" s="162"/>
      <c r="B99" s="160"/>
      <c r="C99" s="161"/>
      <c r="D99" s="160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137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:27">
      <c r="A100" s="162"/>
      <c r="B100" s="160"/>
      <c r="C100" s="161"/>
      <c r="D100" s="160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137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</row>
    <row r="101" spans="1:27">
      <c r="A101" s="162"/>
      <c r="B101" s="160"/>
      <c r="C101" s="161"/>
      <c r="D101" s="160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137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spans="1:27">
      <c r="A102" s="162"/>
      <c r="B102" s="160"/>
      <c r="C102" s="161"/>
      <c r="D102" s="160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137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</row>
    <row r="103" spans="1:27">
      <c r="A103" s="162"/>
      <c r="B103" s="160"/>
      <c r="C103" s="161"/>
      <c r="D103" s="160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137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:27">
      <c r="A104" s="162"/>
      <c r="B104" s="160"/>
      <c r="C104" s="161"/>
      <c r="D104" s="160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137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:27">
      <c r="A105" s="162"/>
      <c r="B105" s="160"/>
      <c r="C105" s="161"/>
      <c r="D105" s="160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137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  <row r="106" spans="1:27">
      <c r="A106" s="162"/>
      <c r="B106" s="160"/>
      <c r="C106" s="161"/>
      <c r="D106" s="160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137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spans="1:27">
      <c r="A107" s="162"/>
      <c r="B107" s="160"/>
      <c r="C107" s="161"/>
      <c r="D107" s="160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137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</row>
    <row r="108" spans="1:27">
      <c r="A108" s="162"/>
      <c r="B108" s="160"/>
      <c r="C108" s="161"/>
      <c r="D108" s="160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137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:27">
      <c r="A109" s="162"/>
      <c r="B109" s="160"/>
      <c r="C109" s="161"/>
      <c r="D109" s="160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137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:27">
      <c r="A110" s="162"/>
      <c r="B110" s="160"/>
      <c r="C110" s="161"/>
      <c r="D110" s="160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137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</row>
    <row r="111" spans="1:27">
      <c r="A111" s="162"/>
      <c r="B111" s="160"/>
      <c r="C111" s="161"/>
      <c r="D111" s="160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137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</row>
    <row r="112" spans="1:27">
      <c r="A112" s="162"/>
      <c r="B112" s="160"/>
      <c r="C112" s="161"/>
      <c r="D112" s="160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137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</row>
    <row r="113" spans="1:27">
      <c r="A113" s="162"/>
      <c r="B113" s="160"/>
      <c r="C113" s="161"/>
      <c r="D113" s="160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137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</row>
    <row r="114" spans="1:27">
      <c r="A114" s="162"/>
      <c r="B114" s="160"/>
      <c r="C114" s="161"/>
      <c r="D114" s="160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137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1:27">
      <c r="A115" s="162"/>
      <c r="B115" s="160"/>
      <c r="C115" s="161"/>
      <c r="D115" s="160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137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spans="1:27">
      <c r="A116" s="162"/>
      <c r="B116" s="160"/>
      <c r="C116" s="161"/>
      <c r="D116" s="160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137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</row>
    <row r="117" spans="1:27">
      <c r="A117" s="162"/>
      <c r="B117" s="160"/>
      <c r="C117" s="161"/>
      <c r="D117" s="160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137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1:27">
      <c r="A118" s="162"/>
      <c r="B118" s="160"/>
      <c r="C118" s="161"/>
      <c r="D118" s="160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137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</row>
    <row r="119" spans="1:27">
      <c r="A119" s="162"/>
      <c r="B119" s="160"/>
      <c r="C119" s="161"/>
      <c r="D119" s="160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137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</row>
    <row r="120" spans="1:27">
      <c r="A120" s="163"/>
      <c r="O120" s="138"/>
    </row>
    <row r="121" spans="1:27">
      <c r="A121" s="163"/>
      <c r="O121" s="138"/>
    </row>
    <row r="122" spans="1:27">
      <c r="A122" s="163"/>
      <c r="O122" s="138"/>
    </row>
    <row r="123" spans="1:27">
      <c r="A123" s="163"/>
      <c r="O123" s="138"/>
    </row>
    <row r="124" spans="1:27">
      <c r="A124" s="163"/>
      <c r="O124" s="138"/>
    </row>
    <row r="125" spans="1:27">
      <c r="A125" s="163"/>
      <c r="O125" s="138"/>
    </row>
    <row r="126" spans="1:27">
      <c r="A126" s="163"/>
      <c r="O126" s="138"/>
    </row>
    <row r="127" spans="1:27">
      <c r="A127" s="163"/>
      <c r="O127" s="138"/>
    </row>
    <row r="128" spans="1:27">
      <c r="A128" s="163"/>
      <c r="O128" s="138"/>
    </row>
    <row r="129" spans="1:15">
      <c r="A129" s="163"/>
      <c r="O129" s="138"/>
    </row>
    <row r="130" spans="1:15">
      <c r="A130" s="163"/>
      <c r="O130" s="138"/>
    </row>
    <row r="131" spans="1:15">
      <c r="A131" s="163"/>
      <c r="O131" s="138"/>
    </row>
    <row r="132" spans="1:15">
      <c r="A132" s="163"/>
      <c r="O132" s="138"/>
    </row>
    <row r="133" spans="1:15">
      <c r="A133" s="163"/>
      <c r="O133" s="138"/>
    </row>
    <row r="134" spans="1:15">
      <c r="A134" s="163"/>
      <c r="O134" s="138"/>
    </row>
    <row r="135" spans="1:15">
      <c r="A135" s="163"/>
      <c r="O135" s="138"/>
    </row>
    <row r="136" spans="1:15">
      <c r="A136" s="163"/>
      <c r="O136" s="138"/>
    </row>
    <row r="137" spans="1:15">
      <c r="A137" s="163"/>
      <c r="O137" s="138"/>
    </row>
    <row r="138" spans="1:15">
      <c r="A138" s="163"/>
      <c r="O138" s="138"/>
    </row>
    <row r="139" spans="1:15">
      <c r="A139" s="163"/>
      <c r="O139" s="138"/>
    </row>
    <row r="140" spans="1:15">
      <c r="A140" s="163"/>
      <c r="O140" s="138"/>
    </row>
    <row r="141" spans="1:15">
      <c r="A141" s="163"/>
      <c r="O141" s="138"/>
    </row>
    <row r="142" spans="1:15">
      <c r="A142" s="163"/>
      <c r="O142" s="138"/>
    </row>
    <row r="143" spans="1:15">
      <c r="A143" s="163"/>
      <c r="O143" s="138"/>
    </row>
    <row r="144" spans="1:15">
      <c r="A144" s="163"/>
      <c r="O144" s="138"/>
    </row>
    <row r="145" spans="1:15">
      <c r="A145" s="163"/>
      <c r="O145" s="138"/>
    </row>
    <row r="146" spans="1:15">
      <c r="A146" s="163"/>
      <c r="O146" s="138"/>
    </row>
    <row r="147" spans="1:15">
      <c r="A147" s="163"/>
      <c r="O147" s="138"/>
    </row>
    <row r="148" spans="1:15">
      <c r="A148" s="163"/>
      <c r="O148" s="138"/>
    </row>
    <row r="149" spans="1:15">
      <c r="A149" s="163"/>
      <c r="O149" s="138"/>
    </row>
    <row r="150" spans="1:15">
      <c r="A150" s="163"/>
      <c r="O150" s="138"/>
    </row>
    <row r="151" spans="1:15">
      <c r="A151" s="163"/>
      <c r="O151" s="138"/>
    </row>
    <row r="152" spans="1:15">
      <c r="A152" s="163"/>
      <c r="O152" s="138"/>
    </row>
    <row r="153" spans="1:15">
      <c r="A153" s="163"/>
      <c r="O153" s="138"/>
    </row>
    <row r="154" spans="1:15">
      <c r="A154" s="163"/>
      <c r="O154" s="138"/>
    </row>
    <row r="155" spans="1:15">
      <c r="A155" s="163"/>
      <c r="O155" s="138"/>
    </row>
    <row r="156" spans="1:15">
      <c r="A156" s="163"/>
      <c r="O156" s="138"/>
    </row>
    <row r="157" spans="1:15">
      <c r="A157" s="163"/>
      <c r="O157" s="138"/>
    </row>
    <row r="158" spans="1:15">
      <c r="A158" s="163"/>
      <c r="O158" s="138"/>
    </row>
    <row r="159" spans="1:15">
      <c r="O159" s="138"/>
    </row>
    <row r="160" spans="1:15">
      <c r="O160" s="138"/>
    </row>
    <row r="161" spans="15:15">
      <c r="O161" s="138"/>
    </row>
    <row r="162" spans="15:15">
      <c r="O162" s="138"/>
    </row>
    <row r="163" spans="15:15">
      <c r="O163" s="138"/>
    </row>
    <row r="164" spans="15:15">
      <c r="O164" s="138"/>
    </row>
    <row r="165" spans="15:15">
      <c r="O165" s="138"/>
    </row>
    <row r="166" spans="15:15">
      <c r="O166" s="138"/>
    </row>
    <row r="167" spans="15:15">
      <c r="O167" s="138"/>
    </row>
    <row r="168" spans="15:15">
      <c r="O168" s="138"/>
    </row>
    <row r="169" spans="15:15">
      <c r="O169" s="138"/>
    </row>
    <row r="170" spans="15:15">
      <c r="O170" s="138"/>
    </row>
    <row r="171" spans="15:15">
      <c r="O171" s="138"/>
    </row>
    <row r="172" spans="15:15">
      <c r="O172" s="138"/>
    </row>
    <row r="173" spans="15:15">
      <c r="O173" s="138"/>
    </row>
    <row r="174" spans="15:15">
      <c r="O174" s="138"/>
    </row>
    <row r="175" spans="15:15">
      <c r="O175" s="138"/>
    </row>
    <row r="176" spans="15:15">
      <c r="O176" s="138"/>
    </row>
    <row r="177" spans="15:15">
      <c r="O177" s="138"/>
    </row>
    <row r="178" spans="15:15">
      <c r="O178" s="138"/>
    </row>
    <row r="179" spans="15:15">
      <c r="O179" s="138"/>
    </row>
    <row r="180" spans="15:15">
      <c r="O180" s="138"/>
    </row>
    <row r="181" spans="15:15">
      <c r="O181" s="138"/>
    </row>
    <row r="182" spans="15:15">
      <c r="O182" s="138"/>
    </row>
    <row r="183" spans="15:15">
      <c r="O183" s="138"/>
    </row>
    <row r="184" spans="15:15">
      <c r="O184" s="138"/>
    </row>
    <row r="185" spans="15:15">
      <c r="O185" s="138"/>
    </row>
    <row r="186" spans="15:15">
      <c r="O186" s="138"/>
    </row>
    <row r="187" spans="15:15">
      <c r="O187" s="138"/>
    </row>
    <row r="188" spans="15:15">
      <c r="O188" s="138"/>
    </row>
    <row r="189" spans="15:15">
      <c r="O189" s="138"/>
    </row>
    <row r="190" spans="15:15">
      <c r="O190" s="138"/>
    </row>
    <row r="191" spans="15:15">
      <c r="O191" s="138"/>
    </row>
    <row r="192" spans="15:15">
      <c r="O192" s="138"/>
    </row>
    <row r="193" spans="15:15">
      <c r="O193" s="138"/>
    </row>
    <row r="194" spans="15:15">
      <c r="O194" s="138"/>
    </row>
    <row r="195" spans="15:15">
      <c r="O195" s="138"/>
    </row>
    <row r="196" spans="15:15">
      <c r="O196" s="138"/>
    </row>
    <row r="197" spans="15:15">
      <c r="O197" s="138"/>
    </row>
    <row r="198" spans="15:15">
      <c r="O198" s="138"/>
    </row>
    <row r="199" spans="15:15">
      <c r="O199" s="138"/>
    </row>
    <row r="200" spans="15:15">
      <c r="O200" s="138"/>
    </row>
    <row r="201" spans="15:15">
      <c r="O201" s="138"/>
    </row>
    <row r="202" spans="15:15">
      <c r="O202" s="138"/>
    </row>
    <row r="203" spans="15:15">
      <c r="O203" s="138"/>
    </row>
    <row r="204" spans="15:15">
      <c r="O204" s="138"/>
    </row>
    <row r="205" spans="15:15">
      <c r="O205" s="138"/>
    </row>
    <row r="206" spans="15:15">
      <c r="O206" s="138"/>
    </row>
    <row r="207" spans="15:15">
      <c r="O207" s="138"/>
    </row>
    <row r="208" spans="15:15">
      <c r="O208" s="138"/>
    </row>
    <row r="209" spans="15:15">
      <c r="O209" s="138"/>
    </row>
    <row r="210" spans="15:15">
      <c r="O210" s="138"/>
    </row>
    <row r="211" spans="15:15">
      <c r="O211" s="138"/>
    </row>
    <row r="212" spans="15:15">
      <c r="O212" s="138"/>
    </row>
    <row r="213" spans="15:15">
      <c r="O213" s="138"/>
    </row>
    <row r="214" spans="15:15">
      <c r="O214" s="138"/>
    </row>
    <row r="215" spans="15:15">
      <c r="O215" s="138"/>
    </row>
    <row r="216" spans="15:15">
      <c r="O216" s="138"/>
    </row>
    <row r="217" spans="15:15">
      <c r="O217" s="138"/>
    </row>
    <row r="218" spans="15:15">
      <c r="O218" s="138"/>
    </row>
    <row r="219" spans="15:15">
      <c r="O219" s="138"/>
    </row>
    <row r="220" spans="15:15">
      <c r="O220" s="138"/>
    </row>
    <row r="221" spans="15:15">
      <c r="O221" s="138"/>
    </row>
    <row r="222" spans="15:15">
      <c r="O222" s="138"/>
    </row>
    <row r="223" spans="15:15">
      <c r="O223" s="138"/>
    </row>
    <row r="224" spans="15:15">
      <c r="O224" s="138"/>
    </row>
    <row r="225" spans="15:15">
      <c r="O225" s="138"/>
    </row>
    <row r="226" spans="15:15">
      <c r="O226" s="138"/>
    </row>
    <row r="227" spans="15:15">
      <c r="O227" s="138"/>
    </row>
    <row r="228" spans="15:15">
      <c r="O228" s="138"/>
    </row>
    <row r="229" spans="15:15">
      <c r="O229" s="138"/>
    </row>
    <row r="230" spans="15:15">
      <c r="O230" s="138"/>
    </row>
    <row r="231" spans="15:15">
      <c r="O231" s="138"/>
    </row>
    <row r="232" spans="15:15">
      <c r="O232" s="138"/>
    </row>
    <row r="233" spans="15:15">
      <c r="O233" s="138"/>
    </row>
    <row r="234" spans="15:15">
      <c r="O234" s="138"/>
    </row>
    <row r="235" spans="15:15">
      <c r="O235" s="138"/>
    </row>
    <row r="236" spans="15:15">
      <c r="O236" s="138"/>
    </row>
    <row r="237" spans="15:15">
      <c r="O237" s="138"/>
    </row>
    <row r="238" spans="15:15">
      <c r="O238" s="138"/>
    </row>
    <row r="239" spans="15:15">
      <c r="O239" s="138"/>
    </row>
    <row r="240" spans="15:15">
      <c r="O240" s="138"/>
    </row>
    <row r="241" spans="15:15">
      <c r="O241" s="138"/>
    </row>
    <row r="242" spans="15:15">
      <c r="O242" s="138"/>
    </row>
    <row r="243" spans="15:15">
      <c r="O243" s="138"/>
    </row>
    <row r="244" spans="15:15">
      <c r="O244" s="138"/>
    </row>
    <row r="245" spans="15:15">
      <c r="O245" s="138"/>
    </row>
    <row r="246" spans="15:15">
      <c r="O246" s="138"/>
    </row>
    <row r="247" spans="15:15">
      <c r="O247" s="138"/>
    </row>
    <row r="248" spans="15:15">
      <c r="O248" s="138"/>
    </row>
    <row r="249" spans="15:15">
      <c r="O249" s="138"/>
    </row>
    <row r="250" spans="15:15">
      <c r="O250" s="138"/>
    </row>
    <row r="251" spans="15:15">
      <c r="O251" s="138"/>
    </row>
    <row r="252" spans="15:15">
      <c r="O252" s="138"/>
    </row>
    <row r="253" spans="15:15">
      <c r="O253" s="138"/>
    </row>
    <row r="254" spans="15:15">
      <c r="O254" s="138"/>
    </row>
    <row r="255" spans="15:15">
      <c r="O255" s="138"/>
    </row>
    <row r="256" spans="15:15">
      <c r="O256" s="138"/>
    </row>
    <row r="257" spans="15:15">
      <c r="O257" s="138"/>
    </row>
    <row r="258" spans="15:15">
      <c r="O258" s="138"/>
    </row>
    <row r="259" spans="15:15">
      <c r="O259" s="138"/>
    </row>
    <row r="260" spans="15:15">
      <c r="O260" s="138"/>
    </row>
    <row r="261" spans="15:15">
      <c r="O261" s="138"/>
    </row>
    <row r="262" spans="15:15">
      <c r="O262" s="138"/>
    </row>
    <row r="263" spans="15:15">
      <c r="O263" s="138"/>
    </row>
    <row r="264" spans="15:15">
      <c r="O264" s="138"/>
    </row>
    <row r="265" spans="15:15">
      <c r="O265" s="138"/>
    </row>
    <row r="266" spans="15:15">
      <c r="O266" s="138"/>
    </row>
    <row r="267" spans="15:15">
      <c r="O267" s="138"/>
    </row>
    <row r="268" spans="15:15">
      <c r="O268" s="138"/>
    </row>
    <row r="269" spans="15:15">
      <c r="O269" s="138"/>
    </row>
    <row r="270" spans="15:15">
      <c r="O270" s="138"/>
    </row>
    <row r="271" spans="15:15">
      <c r="O271" s="138"/>
    </row>
    <row r="272" spans="15:15">
      <c r="O272" s="138"/>
    </row>
    <row r="273" spans="15:15">
      <c r="O273" s="138"/>
    </row>
    <row r="274" spans="15:15">
      <c r="O274" s="138"/>
    </row>
    <row r="275" spans="15:15">
      <c r="O275" s="138"/>
    </row>
    <row r="276" spans="15:15">
      <c r="O276" s="138"/>
    </row>
    <row r="277" spans="15:15">
      <c r="O277" s="138"/>
    </row>
    <row r="278" spans="15:15">
      <c r="O278" s="138"/>
    </row>
    <row r="279" spans="15:15">
      <c r="O279" s="138"/>
    </row>
    <row r="280" spans="15:15">
      <c r="O280" s="138"/>
    </row>
    <row r="281" spans="15:15">
      <c r="O281" s="138"/>
    </row>
    <row r="282" spans="15:15">
      <c r="O282" s="138"/>
    </row>
    <row r="283" spans="15:15">
      <c r="O283" s="138"/>
    </row>
    <row r="284" spans="15:15">
      <c r="O284" s="138"/>
    </row>
    <row r="285" spans="15:15">
      <c r="O285" s="138"/>
    </row>
    <row r="286" spans="15:15">
      <c r="O286" s="138"/>
    </row>
    <row r="287" spans="15:15">
      <c r="O287" s="138"/>
    </row>
    <row r="288" spans="15:15">
      <c r="O288" s="138"/>
    </row>
    <row r="289" spans="15:15">
      <c r="O289" s="138"/>
    </row>
    <row r="290" spans="15:15">
      <c r="O290" s="138"/>
    </row>
    <row r="291" spans="15:15">
      <c r="O291" s="138"/>
    </row>
    <row r="292" spans="15:15">
      <c r="O292" s="138"/>
    </row>
    <row r="293" spans="15:15">
      <c r="O293" s="138"/>
    </row>
    <row r="294" spans="15:15">
      <c r="O294" s="138"/>
    </row>
    <row r="295" spans="15:15">
      <c r="O295" s="138"/>
    </row>
    <row r="296" spans="15:15">
      <c r="O296" s="138"/>
    </row>
    <row r="297" spans="15:15">
      <c r="O297" s="138"/>
    </row>
    <row r="298" spans="15:15">
      <c r="O298" s="138"/>
    </row>
    <row r="299" spans="15:15">
      <c r="O299" s="138"/>
    </row>
  </sheetData>
  <mergeCells count="23">
    <mergeCell ref="S2:U2"/>
    <mergeCell ref="S1:U1"/>
    <mergeCell ref="J9:L9"/>
    <mergeCell ref="K24:O24"/>
    <mergeCell ref="Y85:Z85"/>
    <mergeCell ref="R25:T25"/>
    <mergeCell ref="N9:P9"/>
    <mergeCell ref="J10:P10"/>
    <mergeCell ref="K20:O20"/>
    <mergeCell ref="K21:O21"/>
    <mergeCell ref="K22:O22"/>
    <mergeCell ref="K13:L13"/>
    <mergeCell ref="M14:P15"/>
    <mergeCell ref="H13:J13"/>
    <mergeCell ref="A1:E1"/>
    <mergeCell ref="A17:E17"/>
    <mergeCell ref="A2:E2"/>
    <mergeCell ref="A24:E24"/>
    <mergeCell ref="F12:G12"/>
    <mergeCell ref="A18:E18"/>
    <mergeCell ref="A21:E21"/>
    <mergeCell ref="A9:B9"/>
    <mergeCell ref="F9:G9"/>
  </mergeCells>
  <dataValidations count="2">
    <dataValidation type="decimal" allowBlank="1" showInputMessage="1" showErrorMessage="1" errorTitle="Power Supply" error="Vcc must be between 3V and 32V" promptTitle="Power Supply for Op-Amp" prompt="Vcc between 3V and 32V" sqref="C3">
      <formula1>3</formula1>
      <formula2>32</formula2>
    </dataValidation>
    <dataValidation type="decimal" allowBlank="1" showInputMessage="1" showErrorMessage="1" errorTitle="Bias" error="Vref must be between 3V and 32V" promptTitle="Vcc Bias" prompt="Bias the Op-Amp to Vcc_x000a_By setting Vref=Vcc" sqref="C4">
      <formula1>3</formula1>
      <formula2>32</formula2>
    </dataValidation>
  </dataValidations>
  <hyperlinks>
    <hyperlink ref="K22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AA134"/>
  <sheetViews>
    <sheetView zoomScaleNormal="100" workbookViewId="0">
      <selection activeCell="K21" sqref="K21:O24"/>
    </sheetView>
  </sheetViews>
  <sheetFormatPr defaultColWidth="8.85546875" defaultRowHeight="15"/>
  <cols>
    <col min="1" max="1" width="42" style="1" customWidth="1"/>
    <col min="2" max="2" width="8.85546875" style="1" customWidth="1"/>
    <col min="3" max="3" width="10.7109375" style="1" customWidth="1"/>
    <col min="4" max="4" width="10.42578125" style="1" customWidth="1"/>
    <col min="5" max="5" width="10.7109375" style="1" customWidth="1"/>
    <col min="6" max="6" width="8.85546875" style="1"/>
    <col min="7" max="7" width="8.7109375" style="1" customWidth="1"/>
    <col min="8" max="16384" width="8.85546875" style="1"/>
  </cols>
  <sheetData>
    <row r="1" spans="1:26" ht="40.15" customHeight="1">
      <c r="A1" s="175" t="s">
        <v>54</v>
      </c>
      <c r="B1" s="175"/>
      <c r="C1" s="175"/>
      <c r="D1" s="175"/>
      <c r="E1" s="175"/>
      <c r="F1" s="26"/>
      <c r="G1" s="26"/>
      <c r="H1" s="26"/>
      <c r="I1" s="26"/>
      <c r="J1" s="26"/>
      <c r="K1" s="4"/>
      <c r="L1" s="4"/>
      <c r="M1" s="4"/>
      <c r="N1" s="5"/>
      <c r="O1" s="5"/>
      <c r="P1" s="5"/>
      <c r="Q1" s="5"/>
      <c r="R1" s="5"/>
      <c r="S1" s="183" t="s">
        <v>58</v>
      </c>
      <c r="T1" s="184"/>
      <c r="U1" s="185"/>
      <c r="V1" s="5"/>
      <c r="W1" s="5"/>
      <c r="X1" s="5"/>
      <c r="Y1" s="5"/>
      <c r="Z1" s="5"/>
    </row>
    <row r="2" spans="1:26" ht="21" customHeight="1">
      <c r="A2" s="177" t="s">
        <v>55</v>
      </c>
      <c r="B2" s="177"/>
      <c r="C2" s="177"/>
      <c r="D2" s="177"/>
      <c r="E2" s="177"/>
      <c r="F2" s="69"/>
      <c r="G2" s="69"/>
      <c r="H2" s="6"/>
      <c r="I2" s="6"/>
      <c r="J2" s="6"/>
      <c r="K2" s="6"/>
      <c r="L2" s="6"/>
      <c r="M2" s="6"/>
      <c r="N2" s="5"/>
      <c r="O2" s="5"/>
      <c r="P2" s="5"/>
      <c r="Q2" s="5"/>
      <c r="R2" s="5"/>
      <c r="S2" s="180" t="s">
        <v>72</v>
      </c>
      <c r="T2" s="181"/>
      <c r="U2" s="182"/>
      <c r="V2" s="5"/>
      <c r="W2" s="5"/>
      <c r="X2" s="5"/>
      <c r="Y2" s="5"/>
      <c r="Z2" s="5"/>
    </row>
    <row r="3" spans="1:26" s="44" customFormat="1" ht="14.45" customHeight="1">
      <c r="A3" s="40" t="s">
        <v>69</v>
      </c>
      <c r="B3" s="39" t="s">
        <v>70</v>
      </c>
      <c r="C3" s="125">
        <f t="shared" ref="C3:C8" si="0">+T3</f>
        <v>10</v>
      </c>
      <c r="D3" s="150" t="s">
        <v>2</v>
      </c>
      <c r="E3" s="41"/>
      <c r="F3" s="41"/>
      <c r="G3" s="41"/>
      <c r="H3" s="43"/>
      <c r="I3" s="43"/>
      <c r="J3" s="43"/>
      <c r="K3" s="43"/>
      <c r="L3" s="43"/>
      <c r="M3" s="43"/>
      <c r="N3" s="42"/>
      <c r="O3" s="42"/>
      <c r="P3" s="42"/>
      <c r="Q3" s="42"/>
      <c r="R3" s="42"/>
      <c r="S3" s="92" t="s">
        <v>70</v>
      </c>
      <c r="T3" s="130">
        <v>10</v>
      </c>
      <c r="U3" s="94" t="s">
        <v>2</v>
      </c>
      <c r="V3" s="42"/>
      <c r="W3" s="42"/>
      <c r="X3" s="42"/>
      <c r="Y3" s="42"/>
      <c r="Z3" s="42"/>
    </row>
    <row r="4" spans="1:26" ht="14.45" customHeight="1">
      <c r="A4" s="5" t="s">
        <v>0</v>
      </c>
      <c r="B4" s="154" t="s">
        <v>1</v>
      </c>
      <c r="C4" s="126">
        <f t="shared" si="0"/>
        <v>10</v>
      </c>
      <c r="D4" s="150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5" t="s">
        <v>1</v>
      </c>
      <c r="T4" s="131">
        <v>10</v>
      </c>
      <c r="U4" s="94" t="s">
        <v>2</v>
      </c>
      <c r="V4" s="5"/>
      <c r="W4" s="5"/>
      <c r="X4" s="5"/>
      <c r="Y4" s="5"/>
      <c r="Z4" s="5"/>
    </row>
    <row r="5" spans="1:26" ht="14.45" customHeight="1">
      <c r="A5" s="5" t="s">
        <v>3</v>
      </c>
      <c r="B5" s="154" t="s">
        <v>4</v>
      </c>
      <c r="C5" s="127">
        <f t="shared" si="0"/>
        <v>4.5</v>
      </c>
      <c r="D5" s="150" t="s">
        <v>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5" t="s">
        <v>4</v>
      </c>
      <c r="T5" s="132">
        <v>4.5</v>
      </c>
      <c r="U5" s="94" t="s">
        <v>2</v>
      </c>
      <c r="V5" s="5"/>
      <c r="W5" s="5"/>
      <c r="X5" s="5"/>
      <c r="Y5" s="5"/>
      <c r="Z5" s="5"/>
    </row>
    <row r="6" spans="1:26" ht="14.45" customHeight="1">
      <c r="A6" s="5" t="s">
        <v>5</v>
      </c>
      <c r="B6" s="154" t="s">
        <v>6</v>
      </c>
      <c r="C6" s="128">
        <f t="shared" si="0"/>
        <v>1.5</v>
      </c>
      <c r="D6" s="150" t="s">
        <v>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95" t="s">
        <v>6</v>
      </c>
      <c r="T6" s="133">
        <v>1.5</v>
      </c>
      <c r="U6" s="94" t="s">
        <v>2</v>
      </c>
      <c r="V6" s="5"/>
      <c r="W6" s="5"/>
      <c r="X6" s="5"/>
      <c r="Y6" s="5"/>
      <c r="Z6" s="5"/>
    </row>
    <row r="7" spans="1:26" ht="14.45" customHeight="1">
      <c r="A7" s="5" t="s">
        <v>7</v>
      </c>
      <c r="B7" s="154" t="s">
        <v>8</v>
      </c>
      <c r="C7" s="129">
        <f t="shared" si="0"/>
        <v>0.5</v>
      </c>
      <c r="D7" s="150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5" t="s">
        <v>8</v>
      </c>
      <c r="T7" s="134">
        <v>0.5</v>
      </c>
      <c r="U7" s="94" t="s">
        <v>2</v>
      </c>
      <c r="V7" s="5"/>
      <c r="W7" s="5"/>
      <c r="X7" s="5"/>
      <c r="Y7" s="5"/>
      <c r="Z7" s="5"/>
    </row>
    <row r="8" spans="1:26" ht="14.45" customHeight="1">
      <c r="A8" s="5" t="s">
        <v>9</v>
      </c>
      <c r="B8" s="154" t="s">
        <v>10</v>
      </c>
      <c r="C8" s="170">
        <f t="shared" si="0"/>
        <v>0.2</v>
      </c>
      <c r="D8" s="15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6" t="s">
        <v>10</v>
      </c>
      <c r="T8" s="135">
        <v>0.2</v>
      </c>
      <c r="U8" s="68" t="s">
        <v>2</v>
      </c>
      <c r="V8" s="5"/>
      <c r="W8" s="5"/>
      <c r="X8" s="5"/>
      <c r="Y8" s="5"/>
      <c r="Z8" s="5"/>
    </row>
    <row r="9" spans="1:26" ht="21" customHeight="1">
      <c r="A9" s="176" t="s">
        <v>58</v>
      </c>
      <c r="B9" s="176"/>
      <c r="C9" s="168"/>
      <c r="D9" s="168"/>
      <c r="E9" s="8"/>
      <c r="F9" s="179" t="str">
        <f>IF(AND(F10&gt;0,F11&gt;0),"Select Pos m Pos b",IF(AND(F10&gt;0,F11&lt;0),"Select Pos m Neg b",IF(AND(F10&lt;0,F11&gt;0),"Select Neg m Pos b",IF(AND(F10&lt;0,F11&lt;0),"Select Neg m Neg b","Try again"))))</f>
        <v>Select Pos m Neg b</v>
      </c>
      <c r="G9" s="179"/>
      <c r="H9" s="89"/>
      <c r="I9" s="151" t="str">
        <f>IF(AND(F10&gt;0,F11&lt;0),"OK","Try again")</f>
        <v>OK</v>
      </c>
      <c r="J9" s="186" t="s">
        <v>86</v>
      </c>
      <c r="K9" s="186"/>
      <c r="L9" s="186"/>
      <c r="M9" s="80">
        <f>1+(D13/D15)</f>
        <v>10</v>
      </c>
      <c r="N9" s="186" t="s">
        <v>98</v>
      </c>
      <c r="O9" s="186"/>
      <c r="P9" s="186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45" customHeight="1">
      <c r="A10" s="5" t="s">
        <v>11</v>
      </c>
      <c r="B10" s="150" t="s">
        <v>12</v>
      </c>
      <c r="C10" s="9" t="s">
        <v>15</v>
      </c>
      <c r="D10" s="9"/>
      <c r="E10" s="9"/>
      <c r="F10" s="28">
        <f>(C5-C6)/(C7-C8)</f>
        <v>10</v>
      </c>
      <c r="G10" s="150" t="s">
        <v>67</v>
      </c>
      <c r="H10" s="7">
        <f>ABS(F10)</f>
        <v>10</v>
      </c>
      <c r="I10" s="5"/>
      <c r="J10" s="178" t="s">
        <v>87</v>
      </c>
      <c r="K10" s="178"/>
      <c r="L10" s="178"/>
      <c r="M10" s="178"/>
      <c r="N10" s="178"/>
      <c r="O10" s="178"/>
      <c r="P10" s="178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45" customHeight="1">
      <c r="A11" s="5" t="s">
        <v>13</v>
      </c>
      <c r="B11" s="150" t="s">
        <v>14</v>
      </c>
      <c r="C11" s="10" t="s">
        <v>16</v>
      </c>
      <c r="D11" s="10"/>
      <c r="E11" s="10"/>
      <c r="F11" s="28">
        <f>C6-(F10*C8)</f>
        <v>-0.5</v>
      </c>
      <c r="G11" s="150" t="s">
        <v>68</v>
      </c>
      <c r="H11" s="7">
        <f>ABS(F11)</f>
        <v>0.5</v>
      </c>
      <c r="I11" s="38"/>
      <c r="J11" s="38"/>
      <c r="K11" s="38"/>
      <c r="L11" s="38"/>
      <c r="M11" s="38"/>
      <c r="N11" s="38"/>
      <c r="O11" s="38"/>
      <c r="P11" s="3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45" customHeight="1">
      <c r="A12" s="74" t="s">
        <v>105</v>
      </c>
      <c r="B12" s="45" t="str">
        <f>IF(D20&lt;D17,"OK","Not OK")</f>
        <v>OK</v>
      </c>
      <c r="C12" s="22" t="s">
        <v>89</v>
      </c>
      <c r="D12" s="34" t="s">
        <v>88</v>
      </c>
      <c r="E12" s="10"/>
      <c r="F12" s="178" t="s">
        <v>93</v>
      </c>
      <c r="G12" s="178"/>
      <c r="H12" s="18"/>
      <c r="I12" s="18"/>
      <c r="J12" s="18"/>
      <c r="K12" s="18"/>
      <c r="L12" s="1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>
      <c r="A13" s="5" t="s">
        <v>20</v>
      </c>
      <c r="B13" s="150" t="s">
        <v>21</v>
      </c>
      <c r="C13" s="103">
        <v>180000</v>
      </c>
      <c r="D13" s="60">
        <f>+C13</f>
        <v>180000</v>
      </c>
      <c r="E13" s="17" t="s">
        <v>38</v>
      </c>
      <c r="F13" s="29">
        <f>+D13/1000</f>
        <v>180</v>
      </c>
      <c r="G13" s="17" t="s">
        <v>39</v>
      </c>
      <c r="H13" s="191" t="s">
        <v>107</v>
      </c>
      <c r="I13" s="191"/>
      <c r="J13" s="191"/>
      <c r="K13" s="191" t="s">
        <v>53</v>
      </c>
      <c r="L13" s="19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45" customHeight="1">
      <c r="A14" s="5" t="s">
        <v>47</v>
      </c>
      <c r="B14" s="150" t="s">
        <v>56</v>
      </c>
      <c r="C14" s="103">
        <v>20000</v>
      </c>
      <c r="D14" s="60">
        <f>+C14</f>
        <v>20000</v>
      </c>
      <c r="E14" s="17" t="s">
        <v>38</v>
      </c>
      <c r="F14" s="29">
        <f>+D14/1000</f>
        <v>20</v>
      </c>
      <c r="G14" s="17" t="s">
        <v>39</v>
      </c>
      <c r="H14" s="63" t="s">
        <v>6</v>
      </c>
      <c r="I14" s="64">
        <f>F10*C30+F11</f>
        <v>1.5</v>
      </c>
      <c r="J14" s="76" t="s">
        <v>2</v>
      </c>
      <c r="K14" s="23">
        <v>1.589</v>
      </c>
      <c r="L14" s="24" t="s">
        <v>2</v>
      </c>
      <c r="M14" s="192" t="s">
        <v>92</v>
      </c>
      <c r="N14" s="192"/>
      <c r="O14" s="192"/>
      <c r="P14" s="193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>
      <c r="A15" s="5" t="s">
        <v>40</v>
      </c>
      <c r="B15" s="150" t="s">
        <v>22</v>
      </c>
      <c r="C15" s="50">
        <f>C13/(F10-1)</f>
        <v>20000</v>
      </c>
      <c r="D15" s="148">
        <v>20000</v>
      </c>
      <c r="E15" s="17" t="s">
        <v>38</v>
      </c>
      <c r="F15" s="32">
        <f>+D15/1000</f>
        <v>20</v>
      </c>
      <c r="G15" s="17" t="s">
        <v>39</v>
      </c>
      <c r="H15" s="66" t="s">
        <v>4</v>
      </c>
      <c r="I15" s="67">
        <f>F10*D30+F11</f>
        <v>4.5</v>
      </c>
      <c r="J15" s="77" t="s">
        <v>2</v>
      </c>
      <c r="K15" s="75">
        <v>4.59</v>
      </c>
      <c r="L15" s="152" t="s">
        <v>2</v>
      </c>
      <c r="M15" s="194"/>
      <c r="N15" s="194"/>
      <c r="O15" s="194"/>
      <c r="P15" s="19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6" customHeight="1">
      <c r="A16" s="5" t="s">
        <v>41</v>
      </c>
      <c r="B16" s="150" t="s">
        <v>42</v>
      </c>
      <c r="C16" s="50">
        <f>+C15/10</f>
        <v>2000</v>
      </c>
      <c r="D16" s="148">
        <v>2000</v>
      </c>
      <c r="E16" s="17" t="s">
        <v>38</v>
      </c>
      <c r="F16" s="32">
        <f>+D16/1000</f>
        <v>2</v>
      </c>
      <c r="G16" s="17" t="s">
        <v>39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>
      <c r="A17" s="5" t="s">
        <v>43</v>
      </c>
      <c r="B17" s="150" t="s">
        <v>44</v>
      </c>
      <c r="C17" s="53">
        <f>+C15-C16</f>
        <v>18000</v>
      </c>
      <c r="D17" s="148">
        <v>18000</v>
      </c>
      <c r="E17" s="17" t="s">
        <v>38</v>
      </c>
      <c r="F17" s="29">
        <f>+D17/1000</f>
        <v>18</v>
      </c>
      <c r="G17" s="17" t="s">
        <v>39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>
      <c r="A18" s="5" t="s">
        <v>48</v>
      </c>
      <c r="B18" s="150" t="s">
        <v>45</v>
      </c>
      <c r="C18" s="54">
        <f>(H11*C17)/(C17+C13)</f>
        <v>4.5454545454545456E-2</v>
      </c>
      <c r="D18" s="55">
        <f>+C18</f>
        <v>4.5454545454545456E-2</v>
      </c>
      <c r="E18" s="17" t="s">
        <v>2</v>
      </c>
      <c r="F18" s="29">
        <f>+D18*1000</f>
        <v>45.454545454545453</v>
      </c>
      <c r="G18" s="17" t="s">
        <v>29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>
      <c r="A19" s="5" t="s">
        <v>46</v>
      </c>
      <c r="B19" s="150" t="s">
        <v>19</v>
      </c>
      <c r="C19" s="50">
        <f>C16*(C4-C18)/C18</f>
        <v>438000.00000000006</v>
      </c>
      <c r="D19" s="148">
        <v>432000</v>
      </c>
      <c r="E19" s="17" t="s">
        <v>38</v>
      </c>
      <c r="F19" s="29">
        <f>+D19/1000</f>
        <v>432</v>
      </c>
      <c r="G19" s="17" t="s">
        <v>39</v>
      </c>
      <c r="H19" s="5"/>
      <c r="I19" s="153"/>
      <c r="J19" s="11"/>
      <c r="K19" s="153"/>
      <c r="L19" s="196"/>
      <c r="M19" s="196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>
      <c r="A20" s="5" t="s">
        <v>50</v>
      </c>
      <c r="B20" s="150" t="s">
        <v>180</v>
      </c>
      <c r="C20" s="50">
        <f>(C19*C16)/(C19+C16)</f>
        <v>1990.909090909091</v>
      </c>
      <c r="D20" s="50">
        <f>(D19*D16)/(D19+D16)</f>
        <v>1990.7834101382489</v>
      </c>
      <c r="E20" s="17"/>
      <c r="F20" s="29"/>
      <c r="G20" s="17"/>
      <c r="H20" s="5"/>
      <c r="I20" s="153"/>
      <c r="J20" s="11"/>
      <c r="K20" s="189"/>
      <c r="L20" s="189"/>
      <c r="M20" s="189"/>
      <c r="N20" s="189"/>
      <c r="O20" s="18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>
      <c r="A21" s="176" t="s">
        <v>63</v>
      </c>
      <c r="B21" s="176"/>
      <c r="C21" s="176"/>
      <c r="D21" s="176"/>
      <c r="E21" s="176"/>
      <c r="F21" s="8"/>
      <c r="G21" s="8"/>
      <c r="H21" s="19"/>
      <c r="I21" s="19"/>
      <c r="J21" s="19"/>
      <c r="K21" s="189" t="s">
        <v>84</v>
      </c>
      <c r="L21" s="189"/>
      <c r="M21" s="189"/>
      <c r="N21" s="189"/>
      <c r="O21" s="18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" customHeight="1">
      <c r="A22" s="176" t="s">
        <v>96</v>
      </c>
      <c r="B22" s="176"/>
      <c r="C22" s="176"/>
      <c r="D22" s="176"/>
      <c r="E22" s="176"/>
      <c r="F22" s="8"/>
      <c r="G22" s="8"/>
      <c r="H22" s="19"/>
      <c r="I22" s="19"/>
      <c r="J22" s="19"/>
      <c r="K22" s="190" t="s">
        <v>85</v>
      </c>
      <c r="L22" s="190"/>
      <c r="M22" s="190"/>
      <c r="N22" s="190"/>
      <c r="O22" s="19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 t="s">
        <v>83</v>
      </c>
      <c r="B23" s="150" t="s">
        <v>82</v>
      </c>
      <c r="C23" s="103">
        <v>16931.356390293033</v>
      </c>
      <c r="D23" s="150" t="s">
        <v>23</v>
      </c>
      <c r="E23" s="58">
        <f>+C23/1000</f>
        <v>16.931356390293033</v>
      </c>
      <c r="F23" s="150" t="s">
        <v>27</v>
      </c>
      <c r="G23" s="56">
        <f>E23/1000</f>
        <v>1.6931356390293032E-2</v>
      </c>
      <c r="H23" s="150" t="s">
        <v>28</v>
      </c>
      <c r="I23" s="150"/>
      <c r="J23" s="150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.75">
      <c r="A24" s="5" t="s">
        <v>49</v>
      </c>
      <c r="B24" s="150" t="s">
        <v>33</v>
      </c>
      <c r="C24" s="51">
        <f>(1/(2*PI()*D14*C23))*10^6</f>
        <v>4.7000057001676766E-4</v>
      </c>
      <c r="D24" s="150" t="s">
        <v>24</v>
      </c>
      <c r="E24" s="59">
        <f>C24*1000</f>
        <v>0.47000057001676765</v>
      </c>
      <c r="F24" s="150" t="s">
        <v>25</v>
      </c>
      <c r="G24" s="57">
        <f>E24*1000</f>
        <v>470.00057001676765</v>
      </c>
      <c r="H24" s="150" t="s">
        <v>26</v>
      </c>
      <c r="I24" s="5"/>
      <c r="J24" s="5"/>
      <c r="K24" s="187" t="s">
        <v>170</v>
      </c>
      <c r="L24" s="187"/>
      <c r="M24" s="187"/>
      <c r="N24" s="187"/>
      <c r="O24" s="18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>
      <c r="A25" s="176" t="s">
        <v>97</v>
      </c>
      <c r="B25" s="176"/>
      <c r="C25" s="176"/>
      <c r="D25" s="176"/>
      <c r="E25" s="176"/>
      <c r="F25" s="8"/>
      <c r="G25" s="8"/>
      <c r="H25" s="1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 t="s">
        <v>94</v>
      </c>
      <c r="B26" s="47" t="s">
        <v>33</v>
      </c>
      <c r="C26" s="104">
        <v>470</v>
      </c>
      <c r="D26" s="47" t="s">
        <v>26</v>
      </c>
      <c r="E26" s="28">
        <f>C26/1000</f>
        <v>0.47</v>
      </c>
      <c r="F26" s="47" t="s">
        <v>25</v>
      </c>
      <c r="G26" s="28">
        <f>E26/1000</f>
        <v>4.6999999999999999E-4</v>
      </c>
      <c r="H26" s="48" t="s">
        <v>24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 t="s">
        <v>95</v>
      </c>
      <c r="B27" s="150" t="s">
        <v>82</v>
      </c>
      <c r="C27" s="50">
        <f>(1/(2*PI()*D14*C26*10^-12))</f>
        <v>16931.376924669716</v>
      </c>
      <c r="D27" s="150" t="s">
        <v>23</v>
      </c>
      <c r="E27" s="22">
        <f>C27/1000</f>
        <v>16.931376924669717</v>
      </c>
      <c r="F27" s="150" t="s">
        <v>27</v>
      </c>
      <c r="G27" s="28">
        <f>E27/1000</f>
        <v>1.6931376924669717E-2</v>
      </c>
      <c r="H27" s="150" t="s">
        <v>28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" customHeight="1">
      <c r="A28" s="176" t="s">
        <v>71</v>
      </c>
      <c r="B28" s="176"/>
      <c r="C28" s="176"/>
      <c r="D28" s="176"/>
      <c r="E28" s="176"/>
      <c r="F28" s="8"/>
      <c r="G28" s="8"/>
      <c r="H28" s="19"/>
      <c r="I28" s="19"/>
      <c r="J28" s="19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11" t="s">
        <v>104</v>
      </c>
      <c r="B29" s="5"/>
      <c r="C29" s="20">
        <f>+C6</f>
        <v>1.5</v>
      </c>
      <c r="D29" s="20">
        <f>+C5</f>
        <v>4.5</v>
      </c>
      <c r="E29" s="5"/>
      <c r="F29" s="150" t="s">
        <v>52</v>
      </c>
      <c r="G29" s="5">
        <f>+F10</f>
        <v>10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11" t="s">
        <v>36</v>
      </c>
      <c r="B30" s="5"/>
      <c r="C30" s="20">
        <f>+C8</f>
        <v>0.2</v>
      </c>
      <c r="D30" s="20">
        <f>+C7</f>
        <v>0.5</v>
      </c>
      <c r="E30" s="5"/>
      <c r="F30" s="150" t="s">
        <v>103</v>
      </c>
      <c r="G30" s="5">
        <f>+F11</f>
        <v>-0.5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15" t="s">
        <v>108</v>
      </c>
      <c r="B31" s="5"/>
      <c r="C31" s="52">
        <f>(H10*C30)+F11</f>
        <v>1.5</v>
      </c>
      <c r="D31" s="52">
        <f>(H10*D30)+F11</f>
        <v>4.5</v>
      </c>
      <c r="E31" s="14"/>
      <c r="F31" s="14"/>
      <c r="G31" s="14"/>
      <c r="H31" s="14"/>
      <c r="I31" s="14"/>
      <c r="J31" s="14"/>
      <c r="K31" s="5"/>
      <c r="L31" s="5"/>
      <c r="M31" s="5"/>
      <c r="N31" s="5"/>
      <c r="O31" s="37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150"/>
      <c r="C32" s="7"/>
      <c r="D32" s="150"/>
      <c r="E32" s="5"/>
      <c r="F32" s="5"/>
      <c r="G32" s="5"/>
      <c r="H32" s="5"/>
      <c r="I32" s="5"/>
      <c r="J32" s="5"/>
      <c r="K32" s="5"/>
      <c r="L32" s="5"/>
      <c r="M32" s="5"/>
      <c r="N32" s="5"/>
      <c r="O32" s="37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150"/>
      <c r="C33" s="7"/>
      <c r="D33" s="150"/>
      <c r="E33" s="5"/>
      <c r="F33" s="5"/>
      <c r="G33" s="5"/>
      <c r="H33" s="5"/>
      <c r="I33" s="5"/>
      <c r="J33" s="5"/>
      <c r="K33" s="5"/>
      <c r="L33" s="5"/>
      <c r="M33" s="5"/>
      <c r="N33" s="5"/>
      <c r="O33" s="37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150"/>
      <c r="C34" s="7"/>
      <c r="D34" s="150"/>
      <c r="E34" s="5"/>
      <c r="F34" s="5"/>
      <c r="G34" s="5"/>
      <c r="H34" s="5"/>
      <c r="I34" s="5"/>
      <c r="J34" s="5"/>
      <c r="K34" s="5"/>
      <c r="L34" s="5"/>
      <c r="M34" s="5"/>
      <c r="N34" s="5"/>
      <c r="O34" s="37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150"/>
      <c r="C35" s="7"/>
      <c r="D35" s="150"/>
      <c r="E35" s="5"/>
      <c r="F35" s="5"/>
      <c r="G35" s="5"/>
      <c r="H35" s="5"/>
      <c r="I35" s="5"/>
      <c r="J35" s="5"/>
      <c r="K35" s="5"/>
      <c r="L35" s="5"/>
      <c r="M35" s="5"/>
      <c r="N35" s="5"/>
      <c r="O35" s="37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150"/>
      <c r="C36" s="7"/>
      <c r="D36" s="150"/>
      <c r="E36" s="5"/>
      <c r="F36" s="5"/>
      <c r="G36" s="5"/>
      <c r="H36" s="5"/>
      <c r="I36" s="5"/>
      <c r="J36" s="5"/>
      <c r="K36" s="5"/>
      <c r="L36" s="5"/>
      <c r="M36" s="5"/>
      <c r="N36" s="5"/>
      <c r="O36" s="37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150"/>
      <c r="C37" s="7"/>
      <c r="D37" s="150"/>
      <c r="E37" s="5"/>
      <c r="F37" s="5"/>
      <c r="G37" s="5"/>
      <c r="H37" s="5"/>
      <c r="I37" s="5"/>
      <c r="J37" s="5"/>
      <c r="K37" s="5"/>
      <c r="L37" s="5"/>
      <c r="M37" s="5"/>
      <c r="N37" s="5"/>
      <c r="O37" s="37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150"/>
      <c r="C38" s="7"/>
      <c r="D38" s="150"/>
      <c r="E38" s="5"/>
      <c r="F38" s="5"/>
      <c r="G38" s="5"/>
      <c r="H38" s="5"/>
      <c r="I38" s="5"/>
      <c r="J38" s="5"/>
      <c r="K38" s="5"/>
      <c r="L38" s="5"/>
      <c r="M38" s="5"/>
      <c r="N38" s="5"/>
      <c r="O38" s="37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150"/>
      <c r="C39" s="7"/>
      <c r="D39" s="150"/>
      <c r="E39" s="5"/>
      <c r="F39" s="5"/>
      <c r="G39" s="5"/>
      <c r="H39" s="5"/>
      <c r="I39" s="5"/>
      <c r="J39" s="5"/>
      <c r="K39" s="5"/>
      <c r="L39" s="5"/>
      <c r="M39" s="5"/>
      <c r="N39" s="5"/>
      <c r="O39" s="37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150"/>
      <c r="C40" s="7"/>
      <c r="D40" s="150"/>
      <c r="E40" s="5"/>
      <c r="F40" s="5"/>
      <c r="G40" s="5"/>
      <c r="H40" s="5"/>
      <c r="I40" s="5"/>
      <c r="J40" s="5"/>
      <c r="K40" s="5"/>
      <c r="L40" s="5"/>
      <c r="M40" s="5"/>
      <c r="N40" s="5"/>
      <c r="O40" s="37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150"/>
      <c r="C41" s="7"/>
      <c r="D41" s="150"/>
      <c r="E41" s="5"/>
      <c r="F41" s="5"/>
      <c r="G41" s="5"/>
      <c r="H41" s="5"/>
      <c r="I41" s="5"/>
      <c r="J41" s="5"/>
      <c r="K41" s="5"/>
      <c r="L41" s="5"/>
      <c r="M41" s="5"/>
      <c r="N41" s="5"/>
      <c r="O41" s="37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150"/>
      <c r="C42" s="7"/>
      <c r="D42" s="150"/>
      <c r="E42" s="5"/>
      <c r="F42" s="5"/>
      <c r="G42" s="5"/>
      <c r="H42" s="5"/>
      <c r="I42" s="5"/>
      <c r="J42" s="5"/>
      <c r="K42" s="5"/>
      <c r="L42" s="5"/>
      <c r="M42" s="5"/>
      <c r="N42" s="5"/>
      <c r="O42" s="37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150"/>
      <c r="C43" s="7"/>
      <c r="D43" s="150"/>
      <c r="E43" s="5"/>
      <c r="F43" s="5"/>
      <c r="G43" s="5"/>
      <c r="H43" s="5"/>
      <c r="I43" s="5"/>
      <c r="J43" s="5"/>
      <c r="K43" s="5"/>
      <c r="L43" s="5"/>
      <c r="M43" s="5"/>
      <c r="N43" s="5"/>
      <c r="O43" s="37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150"/>
      <c r="C44" s="7"/>
      <c r="D44" s="150"/>
      <c r="E44" s="5"/>
      <c r="F44" s="5"/>
      <c r="G44" s="5"/>
      <c r="H44" s="5"/>
      <c r="I44" s="5"/>
      <c r="J44" s="5"/>
      <c r="K44" s="5"/>
      <c r="L44" s="5"/>
      <c r="M44" s="5"/>
      <c r="N44" s="5"/>
      <c r="O44" s="37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150"/>
      <c r="C45" s="7"/>
      <c r="D45" s="150"/>
      <c r="E45" s="5"/>
      <c r="F45" s="5"/>
      <c r="G45" s="5"/>
      <c r="H45" s="5"/>
      <c r="I45" s="5"/>
      <c r="J45" s="5"/>
      <c r="K45" s="5"/>
      <c r="L45" s="5"/>
      <c r="M45" s="5"/>
      <c r="N45" s="5"/>
      <c r="O45" s="37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150"/>
      <c r="C46" s="7"/>
      <c r="D46" s="150"/>
      <c r="E46" s="5"/>
      <c r="F46" s="5"/>
      <c r="G46" s="5"/>
      <c r="H46" s="5"/>
      <c r="I46" s="5"/>
      <c r="J46" s="5"/>
      <c r="K46" s="5"/>
      <c r="L46" s="5"/>
      <c r="M46" s="5"/>
      <c r="N46" s="5"/>
      <c r="O46" s="37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150"/>
      <c r="C47" s="7"/>
      <c r="D47" s="150"/>
      <c r="E47" s="5"/>
      <c r="F47" s="5"/>
      <c r="G47" s="5"/>
      <c r="H47" s="5"/>
      <c r="I47" s="5"/>
      <c r="J47" s="5"/>
      <c r="K47" s="5"/>
      <c r="L47" s="5"/>
      <c r="M47" s="5"/>
      <c r="N47" s="5"/>
      <c r="O47" s="37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16" t="s">
        <v>37</v>
      </c>
      <c r="B48" s="150"/>
      <c r="C48" s="7"/>
      <c r="D48" s="150"/>
      <c r="E48" s="5"/>
      <c r="F48" s="5"/>
      <c r="G48" s="5"/>
      <c r="H48" s="5"/>
      <c r="I48" s="5"/>
      <c r="J48" s="5"/>
      <c r="K48" s="5"/>
      <c r="L48" s="5"/>
      <c r="M48" s="5"/>
      <c r="N48" s="5"/>
      <c r="O48" s="37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37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7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37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8.75">
      <c r="A52" s="16"/>
      <c r="B52" s="5"/>
      <c r="C52" s="164" t="s">
        <v>182</v>
      </c>
      <c r="D52" s="164"/>
      <c r="E52" s="164"/>
      <c r="F52" s="164"/>
      <c r="G52" s="5"/>
      <c r="H52" s="5"/>
      <c r="I52" s="5"/>
      <c r="J52" s="5"/>
      <c r="K52" s="5"/>
      <c r="L52" s="5"/>
      <c r="M52" s="5"/>
      <c r="N52" s="5"/>
      <c r="O52" s="37"/>
      <c r="P52" s="136"/>
      <c r="Q52" s="136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37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7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37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37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7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37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37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37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37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7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37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37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37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37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37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>
      <c r="A68" s="5"/>
      <c r="B68" s="5"/>
      <c r="C68" s="164" t="s">
        <v>184</v>
      </c>
      <c r="D68" s="164"/>
      <c r="E68" s="164"/>
      <c r="F68" s="164"/>
      <c r="G68" s="5"/>
      <c r="H68" s="5"/>
      <c r="I68" s="5"/>
      <c r="J68" s="5"/>
      <c r="K68" s="5"/>
      <c r="L68" s="5"/>
      <c r="M68" s="5"/>
      <c r="N68" s="5"/>
      <c r="O68" s="3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37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37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37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37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37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37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37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37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37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37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37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37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7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37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7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37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7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37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7">
      <c r="A84" s="16" t="s">
        <v>37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37"/>
      <c r="P84" s="5"/>
      <c r="Q84" s="5"/>
      <c r="R84" s="5"/>
      <c r="S84" s="5"/>
      <c r="T84" s="5"/>
      <c r="U84" s="5"/>
      <c r="V84" s="5"/>
      <c r="W84" s="5"/>
      <c r="X84" s="5"/>
      <c r="Y84" s="188" t="s">
        <v>190</v>
      </c>
      <c r="Z84" s="188"/>
    </row>
    <row r="85" spans="1:27">
      <c r="A85" s="16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137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:27">
      <c r="A86" s="162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137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spans="1:27">
      <c r="A87" s="16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37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spans="1:27">
      <c r="A88" s="16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137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spans="1:27">
      <c r="A89" s="16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137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:27">
      <c r="A90" s="162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137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:27">
      <c r="A91" s="162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137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spans="1:27">
      <c r="A92" s="162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137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:27">
      <c r="A93" s="162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137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>
      <c r="A94" s="16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137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:27">
      <c r="A95" s="16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137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>
      <c r="A96" s="162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137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:27">
      <c r="A97" s="162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137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spans="1:27">
      <c r="A98" s="162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137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spans="1:27">
      <c r="A99" s="162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137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:27">
      <c r="A100" s="16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137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</row>
    <row r="101" spans="1:27">
      <c r="A101" s="16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137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spans="1:27">
      <c r="A102" s="162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137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</row>
    <row r="103" spans="1:27">
      <c r="A103" s="162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137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:27">
      <c r="A104" s="162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137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:27">
      <c r="A105" s="162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137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  <row r="106" spans="1:27">
      <c r="A106" s="16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137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spans="1:27">
      <c r="A107" s="16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137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</row>
    <row r="108" spans="1:27">
      <c r="A108" s="16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137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:27">
      <c r="A109" s="162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137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:27">
      <c r="A110" s="162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137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</row>
    <row r="111" spans="1:27">
      <c r="A111" s="16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137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</row>
    <row r="112" spans="1:27">
      <c r="A112" s="16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137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</row>
    <row r="113" spans="1:27">
      <c r="A113" s="16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137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</row>
    <row r="114" spans="1:27">
      <c r="A114" s="16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1:27">
      <c r="A115" s="162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spans="1:27">
      <c r="A116" s="162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</row>
    <row r="117" spans="1:27">
      <c r="A117" s="162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1:27">
      <c r="A118" s="16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</row>
    <row r="119" spans="1:27">
      <c r="A119" s="16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</row>
    <row r="120" spans="1:27">
      <c r="A120" s="162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1" spans="1:27">
      <c r="A121" s="162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</row>
    <row r="122" spans="1:27">
      <c r="A122" s="162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</row>
    <row r="123" spans="1:27">
      <c r="A123" s="162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</row>
    <row r="124" spans="1:27">
      <c r="A124" s="16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</row>
    <row r="125" spans="1:27">
      <c r="A125" s="162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</row>
    <row r="126" spans="1:27">
      <c r="A126" s="162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</row>
    <row r="127" spans="1:27">
      <c r="A127" s="162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</row>
    <row r="128" spans="1:27">
      <c r="A128" s="162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</row>
    <row r="129" spans="1:27">
      <c r="A129" s="162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</row>
    <row r="130" spans="1:27">
      <c r="A130" s="162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</row>
    <row r="131" spans="1:27">
      <c r="A131" s="162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</row>
    <row r="132" spans="1:27">
      <c r="A132" s="16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</row>
    <row r="133" spans="1:27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spans="1:27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</row>
  </sheetData>
  <mergeCells count="23">
    <mergeCell ref="Y84:Z84"/>
    <mergeCell ref="S1:U1"/>
    <mergeCell ref="S2:U2"/>
    <mergeCell ref="K20:O20"/>
    <mergeCell ref="K21:O21"/>
    <mergeCell ref="M14:P15"/>
    <mergeCell ref="L19:M19"/>
    <mergeCell ref="A25:E25"/>
    <mergeCell ref="A28:E28"/>
    <mergeCell ref="H13:J13"/>
    <mergeCell ref="K13:L13"/>
    <mergeCell ref="A1:E1"/>
    <mergeCell ref="A2:E2"/>
    <mergeCell ref="J9:L9"/>
    <mergeCell ref="K22:O22"/>
    <mergeCell ref="K24:O24"/>
    <mergeCell ref="J10:P10"/>
    <mergeCell ref="A9:B9"/>
    <mergeCell ref="F12:G12"/>
    <mergeCell ref="A21:E21"/>
    <mergeCell ref="A22:E22"/>
    <mergeCell ref="N9:P9"/>
    <mergeCell ref="F9:G9"/>
  </mergeCells>
  <dataValidations count="2">
    <dataValidation type="decimal" allowBlank="1" showInputMessage="1" showErrorMessage="1" errorTitle="Power Supply" error="Vcc must be between 3V and 32V" promptTitle="Power Supply for Op-Amp" prompt="Vcc between 3V and 32V" sqref="C3">
      <formula1>3</formula1>
      <formula2>32</formula2>
    </dataValidation>
    <dataValidation type="decimal" allowBlank="1" showInputMessage="1" showErrorMessage="1" errorTitle="Bias" error="Vref must be between 3V and 32V" promptTitle="Vcc Bias" prompt="Bias the Op-Amp to Vcc_x000a_By setting Vref=Vcc" sqref="C4">
      <formula1>3</formula1>
      <formula2>32</formula2>
    </dataValidation>
  </dataValidations>
  <hyperlinks>
    <hyperlink ref="K22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AA152"/>
  <sheetViews>
    <sheetView zoomScaleNormal="100" workbookViewId="0">
      <selection activeCell="K20" sqref="K20:O20"/>
    </sheetView>
  </sheetViews>
  <sheetFormatPr defaultColWidth="8.85546875" defaultRowHeight="15"/>
  <cols>
    <col min="1" max="1" width="42" style="1" bestFit="1" customWidth="1"/>
    <col min="2" max="2" width="8.85546875" style="1"/>
    <col min="3" max="3" width="10.7109375" style="1" customWidth="1"/>
    <col min="4" max="4" width="10.42578125" style="1" customWidth="1"/>
    <col min="5" max="5" width="10.7109375" style="1" customWidth="1"/>
    <col min="6" max="6" width="8.85546875" style="1"/>
    <col min="7" max="7" width="8.7109375" style="1" customWidth="1"/>
    <col min="8" max="16384" width="8.85546875" style="1"/>
  </cols>
  <sheetData>
    <row r="1" spans="1:26" ht="40.15" customHeight="1">
      <c r="A1" s="175" t="s">
        <v>73</v>
      </c>
      <c r="B1" s="175"/>
      <c r="C1" s="175"/>
      <c r="D1" s="175"/>
      <c r="E1" s="175"/>
      <c r="F1" s="26"/>
      <c r="G1" s="26"/>
      <c r="H1" s="26"/>
      <c r="I1" s="26"/>
      <c r="J1" s="26"/>
      <c r="K1" s="4"/>
      <c r="L1" s="4"/>
      <c r="M1" s="4"/>
      <c r="N1" s="5"/>
      <c r="O1" s="5"/>
      <c r="P1" s="5"/>
      <c r="Q1" s="5"/>
      <c r="R1" s="5"/>
      <c r="S1" s="183" t="s">
        <v>74</v>
      </c>
      <c r="T1" s="184"/>
      <c r="U1" s="185"/>
      <c r="V1" s="5"/>
      <c r="W1" s="5"/>
      <c r="X1" s="5"/>
      <c r="Y1" s="5"/>
      <c r="Z1" s="5"/>
    </row>
    <row r="2" spans="1:26" ht="21" customHeight="1">
      <c r="A2" s="177" t="s">
        <v>55</v>
      </c>
      <c r="B2" s="177"/>
      <c r="C2" s="177"/>
      <c r="D2" s="177"/>
      <c r="E2" s="177"/>
      <c r="F2" s="69"/>
      <c r="G2" s="69"/>
      <c r="H2" s="6"/>
      <c r="I2" s="6"/>
      <c r="J2" s="6"/>
      <c r="K2" s="6"/>
      <c r="L2" s="6"/>
      <c r="M2" s="6"/>
      <c r="N2" s="5"/>
      <c r="O2" s="5"/>
      <c r="P2" s="5"/>
      <c r="Q2" s="5"/>
      <c r="R2" s="5"/>
      <c r="S2" s="180" t="s">
        <v>72</v>
      </c>
      <c r="T2" s="181"/>
      <c r="U2" s="182"/>
      <c r="V2" s="5"/>
      <c r="W2" s="5"/>
      <c r="X2" s="5"/>
      <c r="Y2" s="5"/>
      <c r="Z2" s="5"/>
    </row>
    <row r="3" spans="1:26">
      <c r="A3" s="40" t="s">
        <v>69</v>
      </c>
      <c r="B3" s="39" t="s">
        <v>70</v>
      </c>
      <c r="C3" s="125">
        <f t="shared" ref="C3:C8" si="0">+T3</f>
        <v>5</v>
      </c>
      <c r="D3" s="150" t="s">
        <v>2</v>
      </c>
      <c r="E3" s="41"/>
      <c r="F3" s="41"/>
      <c r="G3" s="41"/>
      <c r="H3" s="43"/>
      <c r="I3" s="43"/>
      <c r="J3" s="43"/>
      <c r="K3" s="43"/>
      <c r="L3" s="43"/>
      <c r="M3" s="43"/>
      <c r="N3" s="42"/>
      <c r="O3" s="42"/>
      <c r="P3" s="42"/>
      <c r="Q3" s="42"/>
      <c r="R3" s="5"/>
      <c r="S3" s="92" t="s">
        <v>70</v>
      </c>
      <c r="T3" s="130">
        <v>5</v>
      </c>
      <c r="U3" s="94" t="s">
        <v>2</v>
      </c>
      <c r="V3" s="5"/>
      <c r="W3" s="5"/>
      <c r="X3" s="5"/>
      <c r="Y3" s="5"/>
      <c r="Z3" s="5"/>
    </row>
    <row r="4" spans="1:26">
      <c r="A4" s="5" t="s">
        <v>0</v>
      </c>
      <c r="B4" s="154" t="s">
        <v>1</v>
      </c>
      <c r="C4" s="126">
        <f t="shared" si="0"/>
        <v>5</v>
      </c>
      <c r="D4" s="150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5" t="s">
        <v>1</v>
      </c>
      <c r="T4" s="131">
        <v>5</v>
      </c>
      <c r="U4" s="94" t="s">
        <v>2</v>
      </c>
      <c r="V4" s="5"/>
      <c r="W4" s="5"/>
      <c r="X4" s="5"/>
      <c r="Y4" s="5"/>
      <c r="Z4" s="5"/>
    </row>
    <row r="5" spans="1:26">
      <c r="A5" s="5" t="s">
        <v>3</v>
      </c>
      <c r="B5" s="154" t="s">
        <v>4</v>
      </c>
      <c r="C5" s="127">
        <f t="shared" si="0"/>
        <v>1</v>
      </c>
      <c r="D5" s="150" t="s">
        <v>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5" t="s">
        <v>4</v>
      </c>
      <c r="T5" s="132">
        <v>1</v>
      </c>
      <c r="U5" s="94" t="s">
        <v>2</v>
      </c>
      <c r="V5" s="5"/>
      <c r="W5" s="5"/>
      <c r="X5" s="5"/>
      <c r="Y5" s="5"/>
      <c r="Z5" s="5"/>
    </row>
    <row r="6" spans="1:26">
      <c r="A6" s="5" t="s">
        <v>5</v>
      </c>
      <c r="B6" s="154" t="s">
        <v>6</v>
      </c>
      <c r="C6" s="128">
        <f t="shared" si="0"/>
        <v>3.5</v>
      </c>
      <c r="D6" s="150" t="s">
        <v>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95" t="s">
        <v>6</v>
      </c>
      <c r="T6" s="133">
        <v>3.5</v>
      </c>
      <c r="U6" s="94" t="s">
        <v>2</v>
      </c>
      <c r="V6" s="5"/>
      <c r="W6" s="5"/>
      <c r="X6" s="5"/>
      <c r="Y6" s="5"/>
      <c r="Z6" s="5"/>
    </row>
    <row r="7" spans="1:26">
      <c r="A7" s="5" t="s">
        <v>7</v>
      </c>
      <c r="B7" s="154" t="s">
        <v>8</v>
      </c>
      <c r="C7" s="129">
        <f t="shared" si="0"/>
        <v>4</v>
      </c>
      <c r="D7" s="150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5" t="s">
        <v>8</v>
      </c>
      <c r="T7" s="134">
        <v>4</v>
      </c>
      <c r="U7" s="94" t="s">
        <v>2</v>
      </c>
      <c r="V7" s="5"/>
      <c r="W7" s="5"/>
      <c r="X7" s="5"/>
      <c r="Y7" s="5"/>
      <c r="Z7" s="5"/>
    </row>
    <row r="8" spans="1:26">
      <c r="A8" s="5" t="s">
        <v>9</v>
      </c>
      <c r="B8" s="154" t="s">
        <v>10</v>
      </c>
      <c r="C8" s="170">
        <f t="shared" si="0"/>
        <v>1.5</v>
      </c>
      <c r="D8" s="15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6" t="s">
        <v>10</v>
      </c>
      <c r="T8" s="135">
        <v>1.5</v>
      </c>
      <c r="U8" s="68" t="s">
        <v>2</v>
      </c>
      <c r="V8" s="5"/>
      <c r="W8" s="5"/>
      <c r="X8" s="5"/>
      <c r="Y8" s="5"/>
      <c r="Z8" s="5"/>
    </row>
    <row r="9" spans="1:26" ht="21" customHeight="1">
      <c r="A9" s="197" t="s">
        <v>74</v>
      </c>
      <c r="B9" s="197"/>
      <c r="C9" s="169"/>
      <c r="D9" s="169"/>
      <c r="E9" s="19"/>
      <c r="F9" s="179" t="str">
        <f>IF(AND(F10&gt;0,F11&gt;0),"Select Pos m Pos b",IF(AND(F10&gt;0,F11&lt;0),"Select Pos m Neg b",IF(AND(F10&lt;0,F11&gt;0),"Select Neg m Pos b",IF(AND(F10&lt;0,F11&lt;0),"Select Neg m Neg b","Try again"))))</f>
        <v>Select Neg m Pos b</v>
      </c>
      <c r="G9" s="179"/>
      <c r="H9" s="89"/>
      <c r="I9" s="151" t="str">
        <f>IF(AND(F10&lt;0,F11&gt;0),"OK","Try again")</f>
        <v>OK</v>
      </c>
      <c r="J9" s="198" t="s">
        <v>102</v>
      </c>
      <c r="K9" s="186"/>
      <c r="L9" s="186"/>
      <c r="M9" s="80">
        <f>D13/D14</f>
        <v>1</v>
      </c>
      <c r="N9" s="186" t="s">
        <v>98</v>
      </c>
      <c r="O9" s="186"/>
      <c r="P9" s="186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5" t="s">
        <v>11</v>
      </c>
      <c r="B10" s="150" t="s">
        <v>12</v>
      </c>
      <c r="C10" s="9" t="s">
        <v>15</v>
      </c>
      <c r="D10" s="9"/>
      <c r="E10" s="9"/>
      <c r="F10" s="34">
        <f>(C5-C6)/(C7-C8)</f>
        <v>-1</v>
      </c>
      <c r="G10" s="150" t="s">
        <v>67</v>
      </c>
      <c r="H10" s="7">
        <f>ABS(F10)</f>
        <v>1</v>
      </c>
      <c r="I10" s="38"/>
      <c r="J10" s="178" t="s">
        <v>101</v>
      </c>
      <c r="K10" s="178"/>
      <c r="L10" s="178"/>
      <c r="M10" s="178"/>
      <c r="N10" s="178"/>
      <c r="O10" s="178"/>
      <c r="P10" s="178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5" t="s">
        <v>13</v>
      </c>
      <c r="B11" s="150" t="s">
        <v>14</v>
      </c>
      <c r="C11" s="10" t="s">
        <v>16</v>
      </c>
      <c r="D11" s="10"/>
      <c r="E11" s="10"/>
      <c r="F11" s="34">
        <f>C6-(F10*C8)</f>
        <v>5</v>
      </c>
      <c r="G11" s="150" t="s">
        <v>68</v>
      </c>
      <c r="H11" s="7">
        <f>ABS(F11)</f>
        <v>5</v>
      </c>
      <c r="I11" s="38"/>
      <c r="J11" s="38"/>
      <c r="K11" s="38"/>
      <c r="L11" s="38"/>
      <c r="M11" s="38"/>
      <c r="N11" s="38"/>
      <c r="O11" s="38"/>
      <c r="P11" s="3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5"/>
      <c r="B12" s="150"/>
      <c r="C12" s="22" t="s">
        <v>89</v>
      </c>
      <c r="D12" s="34" t="s">
        <v>88</v>
      </c>
      <c r="E12" s="5"/>
      <c r="F12" s="178" t="s">
        <v>93</v>
      </c>
      <c r="G12" s="178"/>
      <c r="H12" s="9"/>
      <c r="I12" s="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>
      <c r="A13" s="5" t="s">
        <v>20</v>
      </c>
      <c r="B13" s="150" t="s">
        <v>21</v>
      </c>
      <c r="C13" s="103">
        <v>100000</v>
      </c>
      <c r="D13" s="60">
        <f>+C13</f>
        <v>100000</v>
      </c>
      <c r="E13" s="17" t="s">
        <v>38</v>
      </c>
      <c r="F13" s="29">
        <f>+D13/1000</f>
        <v>100</v>
      </c>
      <c r="G13" s="17" t="s">
        <v>39</v>
      </c>
      <c r="H13" s="191" t="s">
        <v>107</v>
      </c>
      <c r="I13" s="191"/>
      <c r="J13" s="191"/>
      <c r="K13" s="191" t="s">
        <v>53</v>
      </c>
      <c r="L13" s="191"/>
      <c r="M13" s="62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45" customHeight="1">
      <c r="A14" s="5" t="s">
        <v>76</v>
      </c>
      <c r="B14" s="150" t="s">
        <v>18</v>
      </c>
      <c r="C14" s="103">
        <v>100000</v>
      </c>
      <c r="D14" s="60">
        <f>+C14</f>
        <v>100000</v>
      </c>
      <c r="E14" s="17" t="s">
        <v>38</v>
      </c>
      <c r="F14" s="29">
        <f>+D14/1000</f>
        <v>100</v>
      </c>
      <c r="G14" s="17" t="s">
        <v>39</v>
      </c>
      <c r="H14" s="63" t="s">
        <v>6</v>
      </c>
      <c r="I14" s="64">
        <f>F10*C28+F11</f>
        <v>3.5</v>
      </c>
      <c r="J14" s="65" t="s">
        <v>2</v>
      </c>
      <c r="K14" s="23">
        <v>1</v>
      </c>
      <c r="L14" s="24" t="s">
        <v>2</v>
      </c>
      <c r="M14" s="192" t="s">
        <v>92</v>
      </c>
      <c r="N14" s="192"/>
      <c r="O14" s="192"/>
      <c r="P14" s="193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6" customHeight="1">
      <c r="A15" s="5" t="s">
        <v>77</v>
      </c>
      <c r="B15" s="150" t="s">
        <v>22</v>
      </c>
      <c r="C15" s="50">
        <f>C13/H10</f>
        <v>100000</v>
      </c>
      <c r="D15" s="148">
        <v>100000</v>
      </c>
      <c r="E15" s="17" t="s">
        <v>38</v>
      </c>
      <c r="F15" s="29">
        <f>+D15/1000</f>
        <v>100</v>
      </c>
      <c r="G15" s="17" t="s">
        <v>39</v>
      </c>
      <c r="H15" s="66" t="s">
        <v>4</v>
      </c>
      <c r="I15" s="67">
        <f>F10*D28+F11</f>
        <v>1</v>
      </c>
      <c r="J15" s="68" t="s">
        <v>2</v>
      </c>
      <c r="K15" s="25">
        <v>3.4590000000000001</v>
      </c>
      <c r="L15" s="152" t="s">
        <v>2</v>
      </c>
      <c r="M15" s="194"/>
      <c r="N15" s="194"/>
      <c r="O15" s="194"/>
      <c r="P15" s="19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>
      <c r="A16" s="5" t="s">
        <v>78</v>
      </c>
      <c r="B16" s="150" t="s">
        <v>19</v>
      </c>
      <c r="C16" s="50">
        <f>(H11*C14*C15)/(C4*(C13+C15)-(H11*C15))</f>
        <v>100000</v>
      </c>
      <c r="D16" s="148">
        <v>100000</v>
      </c>
      <c r="E16" s="17" t="s">
        <v>38</v>
      </c>
      <c r="F16" s="32">
        <f>+D16/1000</f>
        <v>100</v>
      </c>
      <c r="G16" s="17" t="s">
        <v>39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>
      <c r="A17" s="5"/>
      <c r="B17" s="150"/>
      <c r="C17" s="35"/>
      <c r="D17" s="17"/>
      <c r="E17" s="32"/>
      <c r="F17" s="1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" customHeight="1">
      <c r="A18" s="197" t="s">
        <v>75</v>
      </c>
      <c r="B18" s="197"/>
      <c r="C18" s="197"/>
      <c r="D18" s="197"/>
      <c r="E18" s="197"/>
      <c r="F18" s="197"/>
      <c r="G18" s="197"/>
      <c r="H18" s="5"/>
      <c r="I18" s="5"/>
      <c r="J18" s="5"/>
      <c r="K18" s="37"/>
      <c r="L18" s="37"/>
      <c r="M18" s="36"/>
      <c r="N18" s="36"/>
      <c r="O18" s="36"/>
      <c r="P18" s="36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" customHeight="1">
      <c r="A19" s="176" t="s">
        <v>99</v>
      </c>
      <c r="B19" s="176"/>
      <c r="C19" s="176"/>
      <c r="D19" s="176"/>
      <c r="E19" s="176"/>
      <c r="F19" s="176"/>
      <c r="G19" s="176"/>
      <c r="H19" s="5"/>
      <c r="I19" s="5"/>
      <c r="J19" s="19"/>
      <c r="K19" s="8"/>
      <c r="L19" s="8"/>
      <c r="M19" s="8"/>
      <c r="N19" s="8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 t="s">
        <v>83</v>
      </c>
      <c r="B20" s="150" t="s">
        <v>82</v>
      </c>
      <c r="C20" s="103">
        <v>3386</v>
      </c>
      <c r="D20" s="150" t="s">
        <v>23</v>
      </c>
      <c r="E20" s="27">
        <f>+C20/1000</f>
        <v>3.3860000000000001</v>
      </c>
      <c r="F20" s="150" t="s">
        <v>27</v>
      </c>
      <c r="G20" s="28">
        <f>E20/1000</f>
        <v>3.3860000000000001E-3</v>
      </c>
      <c r="H20" s="150" t="s">
        <v>28</v>
      </c>
      <c r="I20" s="150"/>
      <c r="J20" s="150"/>
      <c r="K20" s="189"/>
      <c r="L20" s="189"/>
      <c r="M20" s="189"/>
      <c r="N20" s="189"/>
      <c r="O20" s="18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 t="s">
        <v>79</v>
      </c>
      <c r="B21" s="150" t="s">
        <v>64</v>
      </c>
      <c r="C21" s="51">
        <f>(1/(2*PI()*D13*C20))*10^6</f>
        <v>4.7003822531569805E-4</v>
      </c>
      <c r="D21" s="150" t="s">
        <v>24</v>
      </c>
      <c r="E21" s="12">
        <f>C21*1000</f>
        <v>0.47003822531569805</v>
      </c>
      <c r="F21" s="150" t="s">
        <v>25</v>
      </c>
      <c r="G21" s="31">
        <f>E21*1000</f>
        <v>470.03822531569807</v>
      </c>
      <c r="H21" s="150" t="s">
        <v>26</v>
      </c>
      <c r="I21" s="5"/>
      <c r="J21" s="5"/>
      <c r="K21" s="189" t="s">
        <v>84</v>
      </c>
      <c r="L21" s="189"/>
      <c r="M21" s="189"/>
      <c r="N21" s="189"/>
      <c r="O21" s="18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" customHeight="1">
      <c r="A22" s="176" t="s">
        <v>100</v>
      </c>
      <c r="B22" s="176"/>
      <c r="C22" s="176"/>
      <c r="D22" s="176"/>
      <c r="E22" s="176"/>
      <c r="F22" s="176"/>
      <c r="G22" s="176"/>
      <c r="H22" s="19"/>
      <c r="I22" s="19"/>
      <c r="J22" s="19"/>
      <c r="K22" s="190" t="s">
        <v>85</v>
      </c>
      <c r="L22" s="190"/>
      <c r="M22" s="190"/>
      <c r="N22" s="190"/>
      <c r="O22" s="19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44" customFormat="1" ht="14.45" customHeight="1">
      <c r="A23" s="42" t="s">
        <v>80</v>
      </c>
      <c r="B23" s="149" t="s">
        <v>64</v>
      </c>
      <c r="C23" s="104">
        <v>470</v>
      </c>
      <c r="D23" s="47" t="s">
        <v>26</v>
      </c>
      <c r="E23" s="49">
        <f>C23/1000</f>
        <v>0.47</v>
      </c>
      <c r="F23" s="47" t="s">
        <v>25</v>
      </c>
      <c r="G23" s="28">
        <f>E23/1000</f>
        <v>4.6999999999999999E-4</v>
      </c>
      <c r="H23" s="48" t="s">
        <v>24</v>
      </c>
      <c r="I23" s="46"/>
      <c r="J23" s="46"/>
      <c r="K23" s="5"/>
      <c r="L23" s="5"/>
      <c r="M23" s="5"/>
      <c r="N23" s="5"/>
      <c r="O23" s="5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8.75">
      <c r="A24" s="5" t="s">
        <v>81</v>
      </c>
      <c r="B24" s="150" t="s">
        <v>82</v>
      </c>
      <c r="C24" s="50">
        <f>(1/(2*PI()*D13*C23*10^-12))</f>
        <v>3386.2753849339442</v>
      </c>
      <c r="D24" s="150" t="s">
        <v>23</v>
      </c>
      <c r="E24" s="7">
        <f>C24/1000</f>
        <v>3.3862753849339442</v>
      </c>
      <c r="F24" s="150" t="s">
        <v>27</v>
      </c>
      <c r="G24" s="28">
        <f>E24/1000</f>
        <v>3.3862753849339443E-3</v>
      </c>
      <c r="H24" s="150" t="s">
        <v>28</v>
      </c>
      <c r="I24" s="5"/>
      <c r="J24" s="5"/>
      <c r="K24" s="187" t="s">
        <v>170</v>
      </c>
      <c r="L24" s="187"/>
      <c r="M24" s="187"/>
      <c r="N24" s="187"/>
      <c r="O24" s="18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/>
      <c r="B25" s="150"/>
      <c r="C25" s="7"/>
      <c r="D25" s="150"/>
      <c r="E25" s="5"/>
      <c r="F25" s="5"/>
      <c r="G25" s="5"/>
      <c r="H25" s="5"/>
      <c r="I25" s="5"/>
      <c r="J25" s="5"/>
      <c r="K25" s="5"/>
      <c r="L25" s="5"/>
      <c r="M25" s="5"/>
      <c r="N25" s="5"/>
      <c r="O25" s="37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customHeight="1">
      <c r="A26" s="176" t="s">
        <v>35</v>
      </c>
      <c r="B26" s="176"/>
      <c r="C26" s="176"/>
      <c r="D26" s="176"/>
      <c r="E26" s="176"/>
      <c r="F26" s="8"/>
      <c r="G26" s="8"/>
      <c r="H26" s="19"/>
      <c r="I26" s="19"/>
      <c r="J26" s="19"/>
      <c r="K26" s="5"/>
      <c r="L26" s="5"/>
      <c r="M26" s="5"/>
      <c r="N26" s="5"/>
      <c r="O26" s="37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11" t="s">
        <v>104</v>
      </c>
      <c r="B27" s="150"/>
      <c r="C27" s="20">
        <f>+C6</f>
        <v>3.5</v>
      </c>
      <c r="D27" s="20">
        <f>+C5</f>
        <v>1</v>
      </c>
      <c r="E27" s="5"/>
      <c r="F27" s="150" t="s">
        <v>52</v>
      </c>
      <c r="G27" s="5">
        <f>+F10</f>
        <v>-1</v>
      </c>
      <c r="H27" s="5"/>
      <c r="I27" s="5"/>
      <c r="J27" s="5"/>
      <c r="K27" s="5"/>
      <c r="L27" s="5"/>
      <c r="M27" s="5"/>
      <c r="N27" s="5"/>
      <c r="O27" s="3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11" t="s">
        <v>36</v>
      </c>
      <c r="B28" s="150"/>
      <c r="C28" s="20">
        <f>+C8</f>
        <v>1.5</v>
      </c>
      <c r="D28" s="20">
        <f>+C7</f>
        <v>4</v>
      </c>
      <c r="E28" s="5"/>
      <c r="F28" s="150" t="s">
        <v>103</v>
      </c>
      <c r="G28" s="5">
        <f>+F11</f>
        <v>5</v>
      </c>
      <c r="H28" s="5"/>
      <c r="I28" s="5"/>
      <c r="J28" s="5"/>
      <c r="K28" s="5"/>
      <c r="L28" s="5"/>
      <c r="M28" s="5"/>
      <c r="N28" s="5"/>
      <c r="O28" s="37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15" t="s">
        <v>109</v>
      </c>
      <c r="B29" s="150"/>
      <c r="C29" s="52">
        <f>(F10*C28)+F11</f>
        <v>3.5</v>
      </c>
      <c r="D29" s="52">
        <f>(F10*D28)+F11</f>
        <v>1</v>
      </c>
      <c r="E29" s="14"/>
      <c r="F29" s="14"/>
      <c r="G29" s="14"/>
      <c r="H29" s="14"/>
      <c r="I29" s="14"/>
      <c r="J29" s="14"/>
      <c r="K29" s="5"/>
      <c r="L29" s="5"/>
      <c r="M29" s="5"/>
      <c r="N29" s="5"/>
      <c r="O29" s="37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150"/>
      <c r="C30" s="7"/>
      <c r="D30" s="150"/>
      <c r="E30" s="5"/>
      <c r="F30" s="5"/>
      <c r="G30" s="5"/>
      <c r="H30" s="5"/>
      <c r="I30" s="5"/>
      <c r="J30" s="5"/>
      <c r="K30" s="5"/>
      <c r="L30" s="5"/>
      <c r="M30" s="5"/>
      <c r="N30" s="5"/>
      <c r="O30" s="3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150"/>
      <c r="C31" s="7"/>
      <c r="D31" s="150"/>
      <c r="E31" s="5"/>
      <c r="F31" s="5"/>
      <c r="G31" s="5"/>
      <c r="H31" s="5"/>
      <c r="I31" s="5"/>
      <c r="J31" s="5"/>
      <c r="K31" s="5"/>
      <c r="L31" s="5"/>
      <c r="M31" s="5"/>
      <c r="N31" s="5"/>
      <c r="O31" s="37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150"/>
      <c r="C32" s="7"/>
      <c r="D32" s="150"/>
      <c r="E32" s="5"/>
      <c r="F32" s="5"/>
      <c r="G32" s="5"/>
      <c r="H32" s="5"/>
      <c r="I32" s="5"/>
      <c r="J32" s="5"/>
      <c r="K32" s="5"/>
      <c r="L32" s="5"/>
      <c r="M32" s="5"/>
      <c r="N32" s="5"/>
      <c r="O32" s="37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150"/>
      <c r="C33" s="7"/>
      <c r="D33" s="150"/>
      <c r="E33" s="5"/>
      <c r="F33" s="5"/>
      <c r="G33" s="5"/>
      <c r="H33" s="5"/>
      <c r="I33" s="5"/>
      <c r="J33" s="5"/>
      <c r="K33" s="5"/>
      <c r="L33" s="5"/>
      <c r="M33" s="5"/>
      <c r="N33" s="5"/>
      <c r="O33" s="37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150"/>
      <c r="C34" s="7"/>
      <c r="D34" s="150"/>
      <c r="E34" s="5"/>
      <c r="F34" s="5"/>
      <c r="G34" s="5"/>
      <c r="H34" s="5"/>
      <c r="I34" s="5"/>
      <c r="J34" s="5"/>
      <c r="K34" s="5"/>
      <c r="L34" s="5"/>
      <c r="M34" s="5"/>
      <c r="N34" s="5"/>
      <c r="O34" s="37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150"/>
      <c r="C35" s="7"/>
      <c r="D35" s="150"/>
      <c r="E35" s="5"/>
      <c r="F35" s="5"/>
      <c r="G35" s="5"/>
      <c r="H35" s="5"/>
      <c r="I35" s="5"/>
      <c r="J35" s="5"/>
      <c r="K35" s="5"/>
      <c r="L35" s="5"/>
      <c r="M35" s="5"/>
      <c r="N35" s="5"/>
      <c r="O35" s="37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150"/>
      <c r="C36" s="7"/>
      <c r="D36" s="150"/>
      <c r="E36" s="5"/>
      <c r="F36" s="5"/>
      <c r="G36" s="5"/>
      <c r="H36" s="5"/>
      <c r="I36" s="5"/>
      <c r="J36" s="5"/>
      <c r="K36" s="5"/>
      <c r="L36" s="5"/>
      <c r="M36" s="5"/>
      <c r="N36" s="5"/>
      <c r="O36" s="37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150"/>
      <c r="C37" s="7"/>
      <c r="D37" s="150"/>
      <c r="E37" s="5"/>
      <c r="F37" s="5"/>
      <c r="G37" s="5"/>
      <c r="H37" s="5"/>
      <c r="I37" s="5"/>
      <c r="J37" s="5"/>
      <c r="K37" s="5"/>
      <c r="L37" s="5"/>
      <c r="M37" s="5"/>
      <c r="N37" s="5"/>
      <c r="O37" s="37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150"/>
      <c r="C38" s="7"/>
      <c r="D38" s="150"/>
      <c r="E38" s="5"/>
      <c r="F38" s="5"/>
      <c r="G38" s="5"/>
      <c r="H38" s="5"/>
      <c r="I38" s="5"/>
      <c r="J38" s="5"/>
      <c r="K38" s="5"/>
      <c r="L38" s="5"/>
      <c r="M38" s="5"/>
      <c r="N38" s="5"/>
      <c r="O38" s="37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150"/>
      <c r="C39" s="7"/>
      <c r="D39" s="150"/>
      <c r="E39" s="5"/>
      <c r="F39" s="5"/>
      <c r="G39" s="5"/>
      <c r="H39" s="5"/>
      <c r="I39" s="5"/>
      <c r="J39" s="5"/>
      <c r="K39" s="5"/>
      <c r="L39" s="5"/>
      <c r="M39" s="5"/>
      <c r="N39" s="5"/>
      <c r="O39" s="37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150"/>
      <c r="C40" s="7"/>
      <c r="D40" s="150"/>
      <c r="E40" s="5"/>
      <c r="F40" s="5"/>
      <c r="G40" s="5"/>
      <c r="H40" s="5"/>
      <c r="I40" s="5"/>
      <c r="J40" s="5"/>
      <c r="K40" s="5"/>
      <c r="L40" s="5"/>
      <c r="M40" s="5"/>
      <c r="N40" s="5"/>
      <c r="O40" s="37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150"/>
      <c r="C41" s="7"/>
      <c r="D41" s="150"/>
      <c r="E41" s="5"/>
      <c r="F41" s="5"/>
      <c r="G41" s="5"/>
      <c r="H41" s="5"/>
      <c r="I41" s="5"/>
      <c r="J41" s="5"/>
      <c r="K41" s="5"/>
      <c r="L41" s="5"/>
      <c r="M41" s="5"/>
      <c r="N41" s="5"/>
      <c r="O41" s="37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150"/>
      <c r="C42" s="7"/>
      <c r="D42" s="150"/>
      <c r="E42" s="5"/>
      <c r="F42" s="5"/>
      <c r="G42" s="5"/>
      <c r="H42" s="5"/>
      <c r="I42" s="5"/>
      <c r="J42" s="5"/>
      <c r="K42" s="5"/>
      <c r="L42" s="5"/>
      <c r="M42" s="5"/>
      <c r="N42" s="5"/>
      <c r="O42" s="37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150"/>
      <c r="C43" s="7"/>
      <c r="D43" s="150"/>
      <c r="E43" s="5"/>
      <c r="F43" s="5"/>
      <c r="G43" s="5"/>
      <c r="H43" s="5"/>
      <c r="I43" s="5"/>
      <c r="J43" s="5"/>
      <c r="K43" s="5"/>
      <c r="L43" s="5"/>
      <c r="M43" s="5"/>
      <c r="N43" s="5"/>
      <c r="O43" s="37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150"/>
      <c r="C44" s="7"/>
      <c r="D44" s="150"/>
      <c r="E44" s="5"/>
      <c r="F44" s="5"/>
      <c r="G44" s="5"/>
      <c r="H44" s="5"/>
      <c r="I44" s="5"/>
      <c r="J44" s="5"/>
      <c r="K44" s="5"/>
      <c r="L44" s="5"/>
      <c r="M44" s="5"/>
      <c r="N44" s="5"/>
      <c r="O44" s="37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150"/>
      <c r="C45" s="7"/>
      <c r="D45" s="150"/>
      <c r="E45" s="5"/>
      <c r="F45" s="5"/>
      <c r="G45" s="5"/>
      <c r="H45" s="5"/>
      <c r="I45" s="5"/>
      <c r="J45" s="5"/>
      <c r="K45" s="5"/>
      <c r="L45" s="5"/>
      <c r="M45" s="5"/>
      <c r="N45" s="5"/>
      <c r="O45" s="37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16"/>
      <c r="B46" s="150"/>
      <c r="C46" s="7"/>
      <c r="D46" s="150"/>
      <c r="E46" s="5"/>
      <c r="F46" s="5"/>
      <c r="G46" s="5"/>
      <c r="H46" s="5"/>
      <c r="I46" s="5"/>
      <c r="J46" s="5"/>
      <c r="K46" s="5"/>
      <c r="L46" s="5"/>
      <c r="M46" s="5"/>
      <c r="N46" s="5"/>
      <c r="O46" s="37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150"/>
      <c r="C47" s="7"/>
      <c r="D47" s="150"/>
      <c r="E47" s="5"/>
      <c r="F47" s="5"/>
      <c r="G47" s="5"/>
      <c r="H47" s="5"/>
      <c r="I47" s="5"/>
      <c r="J47" s="5"/>
      <c r="K47" s="5"/>
      <c r="L47" s="5"/>
      <c r="M47" s="5"/>
      <c r="N47" s="5"/>
      <c r="O47" s="37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150"/>
      <c r="C48" s="7"/>
      <c r="D48" s="150"/>
      <c r="E48" s="5"/>
      <c r="F48" s="5"/>
      <c r="G48" s="5"/>
      <c r="H48" s="5"/>
      <c r="I48" s="5"/>
      <c r="J48" s="5"/>
      <c r="K48" s="5"/>
      <c r="L48" s="5"/>
      <c r="M48" s="5"/>
      <c r="N48" s="5"/>
      <c r="O48" s="37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7">
      <c r="A49" s="5"/>
      <c r="B49" s="150"/>
      <c r="C49" s="7"/>
      <c r="D49" s="150"/>
      <c r="E49" s="5"/>
      <c r="F49" s="5"/>
      <c r="G49" s="5"/>
      <c r="H49" s="5"/>
      <c r="I49" s="5"/>
      <c r="J49" s="5"/>
      <c r="K49" s="5"/>
      <c r="L49" s="5"/>
      <c r="M49" s="5"/>
      <c r="N49" s="5"/>
      <c r="O49" s="37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7">
      <c r="A50" s="5"/>
      <c r="B50" s="150"/>
      <c r="C50" s="7"/>
      <c r="D50" s="150"/>
      <c r="E50" s="5"/>
      <c r="F50" s="5"/>
      <c r="G50" s="5"/>
      <c r="H50" s="5"/>
      <c r="I50" s="5"/>
      <c r="J50" s="5"/>
      <c r="K50" s="5"/>
      <c r="L50" s="5"/>
      <c r="M50" s="5"/>
      <c r="N50" s="5"/>
      <c r="O50" s="37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7" ht="15.75">
      <c r="A51" s="11"/>
      <c r="B51" s="150"/>
      <c r="C51" s="164" t="s">
        <v>185</v>
      </c>
      <c r="D51" s="164"/>
      <c r="E51" s="164"/>
      <c r="F51" s="164"/>
      <c r="G51" s="5"/>
      <c r="H51" s="5"/>
      <c r="I51" s="5"/>
      <c r="J51" s="5"/>
      <c r="K51" s="5"/>
      <c r="L51" s="5"/>
      <c r="M51" s="5"/>
      <c r="N51" s="5"/>
      <c r="O51" s="146"/>
      <c r="P51" s="144"/>
      <c r="Q51" s="144"/>
      <c r="R51" s="5"/>
      <c r="S51" s="5"/>
      <c r="T51" s="5"/>
      <c r="U51" s="5"/>
      <c r="V51" s="5"/>
      <c r="W51" s="5"/>
      <c r="X51" s="5"/>
      <c r="Y51" s="5"/>
      <c r="Z51" s="5"/>
    </row>
    <row r="52" spans="1:2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37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7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67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33"/>
    </row>
    <row r="54" spans="1:27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67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33"/>
    </row>
    <row r="55" spans="1:27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67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33"/>
    </row>
    <row r="56" spans="1:27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67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33"/>
    </row>
    <row r="57" spans="1:27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67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33"/>
    </row>
    <row r="58" spans="1:27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67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33"/>
    </row>
    <row r="59" spans="1:27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67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33"/>
    </row>
    <row r="60" spans="1:27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67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33"/>
    </row>
    <row r="61" spans="1:27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67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33"/>
    </row>
    <row r="62" spans="1:27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67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33"/>
    </row>
    <row r="63" spans="1:27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67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33"/>
    </row>
    <row r="64" spans="1:27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67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33"/>
    </row>
    <row r="65" spans="1:27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67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33"/>
    </row>
    <row r="66" spans="1:27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67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33"/>
    </row>
    <row r="67" spans="1:27" ht="15.75">
      <c r="A67" s="11"/>
      <c r="B67" s="11"/>
      <c r="C67" s="164" t="s">
        <v>186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67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33"/>
    </row>
    <row r="68" spans="1:27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67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33"/>
    </row>
    <row r="69" spans="1:27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67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33"/>
    </row>
    <row r="70" spans="1:27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67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33"/>
    </row>
    <row r="71" spans="1:27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67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33"/>
    </row>
    <row r="72" spans="1:27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67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33"/>
    </row>
    <row r="73" spans="1:27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67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33"/>
    </row>
    <row r="74" spans="1:27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67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33"/>
    </row>
    <row r="75" spans="1:27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67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33"/>
    </row>
    <row r="76" spans="1:27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67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33"/>
    </row>
    <row r="77" spans="1:27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67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33"/>
    </row>
    <row r="78" spans="1:27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67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33"/>
    </row>
    <row r="79" spans="1:27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67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33"/>
    </row>
    <row r="80" spans="1:27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67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33"/>
    </row>
    <row r="81" spans="1:27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67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33"/>
    </row>
    <row r="82" spans="1:27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67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33"/>
    </row>
    <row r="83" spans="1:27">
      <c r="A83" s="16" t="s">
        <v>37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67"/>
      <c r="P83" s="11"/>
      <c r="Q83" s="11"/>
      <c r="R83" s="11"/>
      <c r="S83" s="11"/>
      <c r="T83" s="11"/>
      <c r="U83" s="11"/>
      <c r="V83" s="11"/>
      <c r="W83" s="11"/>
      <c r="X83" s="11"/>
      <c r="Y83" s="188" t="s">
        <v>190</v>
      </c>
      <c r="Z83" s="188"/>
      <c r="AA83" s="33"/>
    </row>
    <row r="84" spans="1:27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5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33"/>
    </row>
    <row r="85" spans="1:27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5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33"/>
    </row>
    <row r="86" spans="1:27">
      <c r="A86" s="162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5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33"/>
    </row>
    <row r="87" spans="1:27">
      <c r="A87" s="162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5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33"/>
    </row>
    <row r="88" spans="1:27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5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33"/>
    </row>
    <row r="89" spans="1:27">
      <c r="A89" s="162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5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33"/>
    </row>
    <row r="90" spans="1:27">
      <c r="A90" s="162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5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33"/>
    </row>
    <row r="91" spans="1:27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5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33"/>
    </row>
    <row r="92" spans="1:27">
      <c r="A92" s="162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5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33"/>
    </row>
    <row r="93" spans="1:27">
      <c r="A93" s="162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5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33"/>
    </row>
    <row r="94" spans="1:27">
      <c r="A94" s="162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5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33"/>
    </row>
    <row r="95" spans="1:27">
      <c r="A95" s="162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5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33"/>
    </row>
    <row r="96" spans="1:27">
      <c r="A96" s="162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5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33"/>
    </row>
    <row r="97" spans="1:27">
      <c r="A97" s="162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5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33"/>
    </row>
    <row r="98" spans="1:27">
      <c r="A98" s="162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5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33"/>
    </row>
    <row r="99" spans="1:27">
      <c r="A99" s="162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5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33"/>
    </row>
    <row r="100" spans="1:27">
      <c r="A100" s="162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5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33"/>
    </row>
    <row r="101" spans="1:27">
      <c r="A101" s="162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5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33"/>
    </row>
    <row r="102" spans="1:27">
      <c r="A102" s="162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5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33"/>
    </row>
    <row r="103" spans="1:27">
      <c r="A103" s="162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5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33"/>
    </row>
    <row r="104" spans="1:27">
      <c r="A104" s="162"/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5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33"/>
    </row>
    <row r="105" spans="1:27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5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33"/>
    </row>
    <row r="106" spans="1:27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5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33"/>
    </row>
    <row r="107" spans="1:27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5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33"/>
    </row>
    <row r="108" spans="1:27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5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33"/>
    </row>
    <row r="109" spans="1:27">
      <c r="A109" s="162"/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5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33"/>
    </row>
    <row r="110" spans="1:27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5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33"/>
    </row>
    <row r="111" spans="1:27">
      <c r="A111" s="16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5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33"/>
    </row>
    <row r="112" spans="1:27">
      <c r="A112" s="162"/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5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33"/>
    </row>
    <row r="113" spans="1:27">
      <c r="A113" s="162"/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5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33"/>
    </row>
    <row r="114" spans="1:27">
      <c r="A114" s="162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5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33"/>
    </row>
    <row r="115" spans="1:27">
      <c r="A115" s="162"/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5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33"/>
    </row>
    <row r="116" spans="1:27">
      <c r="A116" s="162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5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33"/>
    </row>
    <row r="117" spans="1:27">
      <c r="A117" s="162"/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5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33"/>
    </row>
    <row r="118" spans="1:27">
      <c r="A118" s="162"/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5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33"/>
    </row>
    <row r="119" spans="1:27">
      <c r="A119" s="162"/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5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33"/>
    </row>
    <row r="120" spans="1:27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6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</row>
    <row r="121" spans="1:27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6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</row>
    <row r="122" spans="1:27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6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</row>
    <row r="123" spans="1:27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6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</row>
    <row r="124" spans="1:27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6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</row>
    <row r="125" spans="1:27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6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</row>
    <row r="126" spans="1:27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6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</row>
    <row r="127" spans="1:27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6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</row>
    <row r="128" spans="1:27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6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</row>
    <row r="129" spans="1:26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6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</row>
    <row r="130" spans="1:26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6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</row>
    <row r="131" spans="1:26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6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</row>
    <row r="132" spans="1:26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6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</row>
    <row r="133" spans="1:26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6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</row>
    <row r="134" spans="1:26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6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</row>
    <row r="135" spans="1:26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6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</row>
    <row r="136" spans="1:26">
      <c r="A136" s="163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6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</row>
    <row r="137" spans="1:26">
      <c r="A137" s="163"/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6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</row>
    <row r="138" spans="1:26">
      <c r="A138" s="163"/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</row>
    <row r="139" spans="1:26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</row>
    <row r="140" spans="1:26">
      <c r="A140" s="163"/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</row>
    <row r="141" spans="1:26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</row>
    <row r="142" spans="1:26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</row>
    <row r="143" spans="1:26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</row>
    <row r="144" spans="1:26">
      <c r="A144" s="163"/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</row>
    <row r="145" spans="1:26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</row>
    <row r="146" spans="1:26">
      <c r="A146" s="163"/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</row>
    <row r="147" spans="1:26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</row>
    <row r="148" spans="1:26">
      <c r="A148" s="163"/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</row>
    <row r="149" spans="1:26">
      <c r="A149" s="163"/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</row>
    <row r="150" spans="1:26">
      <c r="A150" s="163"/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</row>
    <row r="151" spans="1:26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</row>
    <row r="152" spans="1:26">
      <c r="A152" s="163"/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</row>
  </sheetData>
  <mergeCells count="22">
    <mergeCell ref="Y83:Z83"/>
    <mergeCell ref="A26:E26"/>
    <mergeCell ref="J9:L9"/>
    <mergeCell ref="K24:O24"/>
    <mergeCell ref="F9:G9"/>
    <mergeCell ref="J10:P10"/>
    <mergeCell ref="F12:G12"/>
    <mergeCell ref="K20:O20"/>
    <mergeCell ref="K21:O21"/>
    <mergeCell ref="K22:O22"/>
    <mergeCell ref="A18:G18"/>
    <mergeCell ref="A19:G19"/>
    <mergeCell ref="A22:G22"/>
    <mergeCell ref="K13:L13"/>
    <mergeCell ref="H13:J13"/>
    <mergeCell ref="M14:P15"/>
    <mergeCell ref="N9:P9"/>
    <mergeCell ref="S1:U1"/>
    <mergeCell ref="S2:U2"/>
    <mergeCell ref="A2:E2"/>
    <mergeCell ref="A1:E1"/>
    <mergeCell ref="A9:B9"/>
  </mergeCells>
  <dataValidations count="2">
    <dataValidation type="decimal" allowBlank="1" showInputMessage="1" showErrorMessage="1" errorTitle="Power Supply" error="Vcc must be between 3V and 32V" promptTitle="Power Supply for Op-Amp" prompt="Vcc between 3V and 32V" sqref="C3">
      <formula1>3</formula1>
      <formula2>32</formula2>
    </dataValidation>
    <dataValidation type="decimal" allowBlank="1" showInputMessage="1" showErrorMessage="1" errorTitle="Bias" error="Vref must be between 3V and 32V" promptTitle="Vcc Bias" prompt="Bias the Op-Amp to Vcc_x000a_By setting Vref=Vcc" sqref="C4">
      <formula1>3</formula1>
      <formula2>32</formula2>
    </dataValidation>
  </dataValidations>
  <hyperlinks>
    <hyperlink ref="K22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:AT138"/>
  <sheetViews>
    <sheetView zoomScaleNormal="100" workbookViewId="0">
      <selection activeCell="K20" sqref="K20:O20"/>
    </sheetView>
  </sheetViews>
  <sheetFormatPr defaultColWidth="8.85546875" defaultRowHeight="15"/>
  <cols>
    <col min="1" max="1" width="42" style="1" customWidth="1"/>
    <col min="2" max="2" width="8.85546875" style="1" customWidth="1"/>
    <col min="3" max="3" width="10.7109375" style="1" customWidth="1"/>
    <col min="4" max="4" width="10.42578125" style="1" customWidth="1"/>
    <col min="5" max="5" width="10.7109375" style="1" customWidth="1"/>
    <col min="6" max="6" width="8.85546875" style="1"/>
    <col min="7" max="7" width="8.7109375" style="1" customWidth="1"/>
    <col min="8" max="16384" width="8.85546875" style="1"/>
  </cols>
  <sheetData>
    <row r="1" spans="1:26" ht="40.15" customHeight="1">
      <c r="A1" s="175" t="s">
        <v>59</v>
      </c>
      <c r="B1" s="175"/>
      <c r="C1" s="175"/>
      <c r="D1" s="175"/>
      <c r="E1" s="175"/>
      <c r="F1" s="26"/>
      <c r="G1" s="26"/>
      <c r="H1" s="26"/>
      <c r="I1" s="26"/>
      <c r="J1" s="26"/>
      <c r="K1" s="4"/>
      <c r="L1" s="4"/>
      <c r="M1" s="4"/>
      <c r="N1" s="5"/>
      <c r="O1" s="5"/>
      <c r="P1" s="5"/>
      <c r="Q1" s="5"/>
      <c r="R1" s="5"/>
      <c r="S1" s="183" t="s">
        <v>60</v>
      </c>
      <c r="T1" s="184"/>
      <c r="U1" s="185"/>
      <c r="V1" s="5"/>
      <c r="W1" s="5"/>
      <c r="X1" s="5"/>
      <c r="Y1" s="5"/>
      <c r="Z1" s="5"/>
    </row>
    <row r="2" spans="1:26" ht="21" customHeight="1">
      <c r="A2" s="177" t="s">
        <v>55</v>
      </c>
      <c r="B2" s="177"/>
      <c r="C2" s="177"/>
      <c r="D2" s="177"/>
      <c r="E2" s="177"/>
      <c r="F2" s="79"/>
      <c r="G2" s="79"/>
      <c r="H2" s="6"/>
      <c r="I2" s="6"/>
      <c r="J2" s="6"/>
      <c r="K2" s="6"/>
      <c r="L2" s="6"/>
      <c r="M2" s="6"/>
      <c r="N2" s="5"/>
      <c r="O2" s="5"/>
      <c r="P2" s="5"/>
      <c r="Q2" s="5"/>
      <c r="R2" s="5"/>
      <c r="S2" s="180" t="s">
        <v>72</v>
      </c>
      <c r="T2" s="181"/>
      <c r="U2" s="182"/>
      <c r="V2" s="5"/>
      <c r="W2" s="5"/>
      <c r="X2" s="5"/>
      <c r="Y2" s="5"/>
      <c r="Z2" s="5"/>
    </row>
    <row r="3" spans="1:26" ht="15.75">
      <c r="A3" s="40" t="s">
        <v>69</v>
      </c>
      <c r="B3" s="39" t="s">
        <v>70</v>
      </c>
      <c r="C3" s="125">
        <f t="shared" ref="C3:C8" si="0">+T3</f>
        <v>8</v>
      </c>
      <c r="D3" s="156" t="s">
        <v>2</v>
      </c>
      <c r="E3" s="61"/>
      <c r="F3" s="61"/>
      <c r="G3" s="61"/>
      <c r="H3" s="6"/>
      <c r="I3" s="6"/>
      <c r="J3" s="6"/>
      <c r="K3" s="6"/>
      <c r="L3" s="6"/>
      <c r="M3" s="6"/>
      <c r="N3" s="5"/>
      <c r="O3" s="5"/>
      <c r="P3" s="5"/>
      <c r="Q3" s="5"/>
      <c r="R3" s="5"/>
      <c r="S3" s="92" t="s">
        <v>70</v>
      </c>
      <c r="T3" s="130">
        <v>8</v>
      </c>
      <c r="U3" s="94" t="s">
        <v>2</v>
      </c>
      <c r="V3" s="5"/>
      <c r="W3" s="5"/>
      <c r="X3" s="5"/>
      <c r="Y3" s="5"/>
      <c r="Z3" s="5"/>
    </row>
    <row r="4" spans="1:26">
      <c r="A4" s="5" t="s">
        <v>0</v>
      </c>
      <c r="B4" s="159" t="s">
        <v>1</v>
      </c>
      <c r="C4" s="126">
        <f t="shared" si="0"/>
        <v>8</v>
      </c>
      <c r="D4" s="156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5" t="s">
        <v>1</v>
      </c>
      <c r="T4" s="131">
        <v>8</v>
      </c>
      <c r="U4" s="94" t="s">
        <v>2</v>
      </c>
      <c r="V4" s="5"/>
      <c r="W4" s="5"/>
      <c r="X4" s="5"/>
      <c r="Y4" s="5"/>
      <c r="Z4" s="5"/>
    </row>
    <row r="5" spans="1:26">
      <c r="A5" s="5" t="s">
        <v>3</v>
      </c>
      <c r="B5" s="159" t="s">
        <v>4</v>
      </c>
      <c r="C5" s="127">
        <f t="shared" si="0"/>
        <v>1</v>
      </c>
      <c r="D5" s="156" t="s">
        <v>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5" t="s">
        <v>4</v>
      </c>
      <c r="T5" s="132">
        <v>1</v>
      </c>
      <c r="U5" s="94" t="s">
        <v>2</v>
      </c>
      <c r="V5" s="5"/>
      <c r="W5" s="5"/>
      <c r="X5" s="5"/>
      <c r="Y5" s="5"/>
      <c r="Z5" s="5"/>
    </row>
    <row r="6" spans="1:26">
      <c r="A6" s="5" t="s">
        <v>5</v>
      </c>
      <c r="B6" s="159" t="s">
        <v>6</v>
      </c>
      <c r="C6" s="128">
        <f t="shared" si="0"/>
        <v>5</v>
      </c>
      <c r="D6" s="156" t="s">
        <v>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95" t="s">
        <v>6</v>
      </c>
      <c r="T6" s="133">
        <v>5</v>
      </c>
      <c r="U6" s="94" t="s">
        <v>2</v>
      </c>
      <c r="V6" s="5"/>
      <c r="W6" s="5"/>
      <c r="X6" s="5"/>
      <c r="Y6" s="5"/>
      <c r="Z6" s="5"/>
    </row>
    <row r="7" spans="1:26">
      <c r="A7" s="5" t="s">
        <v>7</v>
      </c>
      <c r="B7" s="159" t="s">
        <v>8</v>
      </c>
      <c r="C7" s="129">
        <f t="shared" si="0"/>
        <v>-0.1</v>
      </c>
      <c r="D7" s="156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5" t="s">
        <v>8</v>
      </c>
      <c r="T7" s="134">
        <v>-0.1</v>
      </c>
      <c r="U7" s="94" t="s">
        <v>2</v>
      </c>
      <c r="V7" s="5"/>
      <c r="W7" s="5"/>
      <c r="X7" s="5"/>
      <c r="Y7" s="5"/>
      <c r="Z7" s="5"/>
    </row>
    <row r="8" spans="1:26">
      <c r="A8" s="5" t="s">
        <v>9</v>
      </c>
      <c r="B8" s="159" t="s">
        <v>10</v>
      </c>
      <c r="C8" s="170">
        <f t="shared" si="0"/>
        <v>-0.3</v>
      </c>
      <c r="D8" s="156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6" t="s">
        <v>10</v>
      </c>
      <c r="T8" s="135">
        <v>-0.3</v>
      </c>
      <c r="U8" s="68" t="s">
        <v>2</v>
      </c>
      <c r="V8" s="5"/>
      <c r="W8" s="5"/>
      <c r="X8" s="5"/>
      <c r="Y8" s="5"/>
      <c r="Z8" s="5"/>
    </row>
    <row r="9" spans="1:26" ht="21" customHeight="1">
      <c r="A9" s="176" t="s">
        <v>60</v>
      </c>
      <c r="B9" s="176"/>
      <c r="C9" s="168"/>
      <c r="D9" s="168"/>
      <c r="E9" s="8"/>
      <c r="F9" s="179" t="str">
        <f>IF(AND(F10&gt;0,F11&gt;0),"Select Pos m Pos b",IF(AND(F10&gt;0,F11&lt;0),"Select Pos m Neg b",IF(AND(F10&lt;0,F11&gt;0),"Select Neg m Pos b",IF(AND(F10&lt;0,F11&lt;0),"Select Neg m Neg b","Try again"))))</f>
        <v>Select Neg m Neg b</v>
      </c>
      <c r="G9" s="179"/>
      <c r="H9" s="89"/>
      <c r="I9" s="155" t="str">
        <f>IF(AND(F10&lt;0,F11&lt;0),"OK","Try again")</f>
        <v>OK</v>
      </c>
      <c r="J9" s="199" t="s">
        <v>177</v>
      </c>
      <c r="K9" s="186"/>
      <c r="L9" s="186"/>
      <c r="M9" s="80">
        <f>(D13/D16)</f>
        <v>20.125</v>
      </c>
      <c r="N9" s="186" t="s">
        <v>98</v>
      </c>
      <c r="O9" s="186"/>
      <c r="P9" s="186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45" customHeight="1">
      <c r="A10" s="5" t="s">
        <v>11</v>
      </c>
      <c r="B10" s="156" t="s">
        <v>12</v>
      </c>
      <c r="C10" s="9" t="s">
        <v>15</v>
      </c>
      <c r="D10" s="9"/>
      <c r="E10" s="9"/>
      <c r="F10" s="28">
        <f>(C5-C6)/(C7-C8)</f>
        <v>-20</v>
      </c>
      <c r="G10" s="156" t="s">
        <v>67</v>
      </c>
      <c r="H10" s="7">
        <f>ABS(F10)</f>
        <v>20</v>
      </c>
      <c r="I10" s="38"/>
      <c r="J10" s="178" t="s">
        <v>101</v>
      </c>
      <c r="K10" s="178"/>
      <c r="L10" s="178"/>
      <c r="M10" s="178"/>
      <c r="N10" s="178"/>
      <c r="O10" s="178"/>
      <c r="P10" s="178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45" customHeight="1">
      <c r="A11" s="5" t="s">
        <v>13</v>
      </c>
      <c r="B11" s="156" t="s">
        <v>14</v>
      </c>
      <c r="C11" s="10" t="s">
        <v>16</v>
      </c>
      <c r="D11" s="10"/>
      <c r="E11" s="10"/>
      <c r="F11" s="28">
        <f>C6-(F10*C8)</f>
        <v>-1</v>
      </c>
      <c r="G11" s="156" t="s">
        <v>68</v>
      </c>
      <c r="H11" s="7">
        <f>ABS(F11)</f>
        <v>1</v>
      </c>
      <c r="I11" s="38"/>
      <c r="J11" s="124"/>
      <c r="K11" s="38"/>
      <c r="L11" s="38"/>
      <c r="M11" s="38"/>
      <c r="N11" s="38"/>
      <c r="O11" s="38"/>
      <c r="P11" s="3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5"/>
      <c r="B12" s="156"/>
      <c r="C12" s="22" t="s">
        <v>89</v>
      </c>
      <c r="D12" s="34" t="s">
        <v>88</v>
      </c>
      <c r="E12" s="5"/>
      <c r="F12" s="178" t="s">
        <v>93</v>
      </c>
      <c r="G12" s="178"/>
      <c r="H12" s="5"/>
      <c r="I12" s="13"/>
      <c r="J12" s="15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>
      <c r="A13" s="5" t="s">
        <v>20</v>
      </c>
      <c r="B13" s="156" t="s">
        <v>21</v>
      </c>
      <c r="C13" s="103">
        <v>20000</v>
      </c>
      <c r="D13" s="60">
        <f>+C13</f>
        <v>20000</v>
      </c>
      <c r="E13" s="17" t="s">
        <v>38</v>
      </c>
      <c r="F13" s="29">
        <f>+D13/1000</f>
        <v>20</v>
      </c>
      <c r="G13" s="17" t="s">
        <v>39</v>
      </c>
      <c r="H13" s="178" t="s">
        <v>107</v>
      </c>
      <c r="I13" s="178"/>
      <c r="J13" s="178"/>
      <c r="K13" s="191" t="s">
        <v>53</v>
      </c>
      <c r="L13" s="19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>
      <c r="A14" s="5" t="s">
        <v>65</v>
      </c>
      <c r="B14" s="156" t="s">
        <v>44</v>
      </c>
      <c r="C14" s="50">
        <f>C13/H10</f>
        <v>1000</v>
      </c>
      <c r="D14" s="148">
        <v>1000</v>
      </c>
      <c r="E14" s="17" t="s">
        <v>38</v>
      </c>
      <c r="F14" s="29">
        <f>+D14/1000</f>
        <v>1</v>
      </c>
      <c r="G14" s="17" t="s">
        <v>39</v>
      </c>
      <c r="H14" s="63" t="s">
        <v>6</v>
      </c>
      <c r="I14" s="64">
        <f>F10*C26+F11</f>
        <v>5</v>
      </c>
      <c r="J14" s="65" t="s">
        <v>2</v>
      </c>
      <c r="K14" s="23">
        <v>5.0030000000000001</v>
      </c>
      <c r="L14" s="24" t="s">
        <v>2</v>
      </c>
      <c r="M14" s="192" t="s">
        <v>92</v>
      </c>
      <c r="N14" s="192"/>
      <c r="O14" s="192"/>
      <c r="P14" s="193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>
      <c r="A15" s="5" t="s">
        <v>66</v>
      </c>
      <c r="B15" s="156" t="s">
        <v>42</v>
      </c>
      <c r="C15" s="50">
        <f>C4*C13/H11</f>
        <v>160000</v>
      </c>
      <c r="D15" s="148">
        <v>160000</v>
      </c>
      <c r="E15" s="17" t="s">
        <v>38</v>
      </c>
      <c r="F15" s="32">
        <f>+D15/1000</f>
        <v>160</v>
      </c>
      <c r="G15" s="17" t="s">
        <v>39</v>
      </c>
      <c r="H15" s="66" t="s">
        <v>4</v>
      </c>
      <c r="I15" s="67">
        <f>F10*D26+F11</f>
        <v>1</v>
      </c>
      <c r="J15" s="68" t="s">
        <v>2</v>
      </c>
      <c r="K15" s="25">
        <v>1.004</v>
      </c>
      <c r="L15" s="157" t="s">
        <v>2</v>
      </c>
      <c r="M15" s="194"/>
      <c r="N15" s="194"/>
      <c r="O15" s="194"/>
      <c r="P15" s="19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45" customHeight="1">
      <c r="A16" s="5" t="s">
        <v>178</v>
      </c>
      <c r="B16" s="156" t="s">
        <v>179</v>
      </c>
      <c r="C16" s="50">
        <f>(C14*C15)/(C14+C15)</f>
        <v>993.78881987577643</v>
      </c>
      <c r="D16" s="50">
        <f>(D14*D15)/(D14+D15)</f>
        <v>993.78881987577643</v>
      </c>
      <c r="E16" s="17" t="s">
        <v>38</v>
      </c>
      <c r="F16" s="123">
        <f>+D16/1000</f>
        <v>0.99378881987577639</v>
      </c>
      <c r="G16" s="17" t="s">
        <v>39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customHeight="1">
      <c r="A17" s="176" t="s">
        <v>61</v>
      </c>
      <c r="B17" s="176"/>
      <c r="C17" s="176"/>
      <c r="D17" s="176"/>
      <c r="E17" s="176"/>
      <c r="F17" s="8"/>
      <c r="G17" s="8"/>
      <c r="H17" s="5"/>
      <c r="I17" s="5"/>
      <c r="J17" s="5"/>
      <c r="K17" s="37"/>
      <c r="L17" s="37"/>
      <c r="M17" s="36"/>
      <c r="N17" s="36"/>
      <c r="O17" s="36"/>
      <c r="P17" s="36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" customHeight="1">
      <c r="A18" s="176" t="s">
        <v>34</v>
      </c>
      <c r="B18" s="176"/>
      <c r="C18" s="176"/>
      <c r="D18" s="176"/>
      <c r="E18" s="176"/>
      <c r="F18" s="8"/>
      <c r="G18" s="8"/>
      <c r="H18" s="5"/>
      <c r="I18" s="5"/>
      <c r="J18" s="19"/>
      <c r="K18" s="8"/>
      <c r="L18" s="8"/>
      <c r="M18" s="8"/>
      <c r="N18" s="8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 t="s">
        <v>83</v>
      </c>
      <c r="B19" s="156" t="s">
        <v>82</v>
      </c>
      <c r="C19" s="103">
        <v>16931</v>
      </c>
      <c r="D19" s="156" t="s">
        <v>23</v>
      </c>
      <c r="E19" s="27">
        <f>+C19/1000</f>
        <v>16.931000000000001</v>
      </c>
      <c r="F19" s="156" t="s">
        <v>27</v>
      </c>
      <c r="G19" s="28">
        <f>E19/1000</f>
        <v>1.6931000000000002E-2</v>
      </c>
      <c r="H19" s="156" t="s">
        <v>28</v>
      </c>
      <c r="I19" s="156"/>
      <c r="J19" s="156"/>
      <c r="K19" s="5"/>
      <c r="L19" s="78"/>
      <c r="M19" s="78"/>
      <c r="N19" s="78"/>
      <c r="O19" s="78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 t="s">
        <v>79</v>
      </c>
      <c r="B20" s="156" t="s">
        <v>64</v>
      </c>
      <c r="C20" s="51">
        <f>(1/(2*PI()*D13*C19))*10^6</f>
        <v>4.7001046332731476E-4</v>
      </c>
      <c r="D20" s="156" t="s">
        <v>24</v>
      </c>
      <c r="E20" s="12">
        <f>C20*1000</f>
        <v>0.47001046332731478</v>
      </c>
      <c r="F20" s="156" t="s">
        <v>25</v>
      </c>
      <c r="G20" s="31">
        <f>E20*1000</f>
        <v>470.01046332731477</v>
      </c>
      <c r="H20" s="156" t="s">
        <v>26</v>
      </c>
      <c r="I20" s="5"/>
      <c r="J20" s="5"/>
      <c r="K20" s="189"/>
      <c r="L20" s="189"/>
      <c r="M20" s="189"/>
      <c r="N20" s="189"/>
      <c r="O20" s="18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>
      <c r="A21" s="176" t="s">
        <v>34</v>
      </c>
      <c r="B21" s="176"/>
      <c r="C21" s="176"/>
      <c r="D21" s="176"/>
      <c r="E21" s="176"/>
      <c r="F21" s="8"/>
      <c r="G21" s="8"/>
      <c r="H21" s="19"/>
      <c r="I21" s="7"/>
      <c r="J21" s="156"/>
      <c r="K21" s="189" t="s">
        <v>84</v>
      </c>
      <c r="L21" s="189"/>
      <c r="M21" s="189"/>
      <c r="N21" s="189"/>
      <c r="O21" s="18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45" customHeight="1">
      <c r="A22" s="42" t="s">
        <v>80</v>
      </c>
      <c r="B22" s="158" t="s">
        <v>64</v>
      </c>
      <c r="C22" s="104">
        <v>470</v>
      </c>
      <c r="D22" s="47" t="s">
        <v>26</v>
      </c>
      <c r="E22" s="49">
        <f>C22/1000</f>
        <v>0.47</v>
      </c>
      <c r="F22" s="47" t="s">
        <v>25</v>
      </c>
      <c r="G22" s="28">
        <f>E22/1000</f>
        <v>4.6999999999999999E-4</v>
      </c>
      <c r="H22" s="48" t="s">
        <v>24</v>
      </c>
      <c r="I22" s="19"/>
      <c r="J22" s="19"/>
      <c r="K22" s="190" t="s">
        <v>85</v>
      </c>
      <c r="L22" s="190"/>
      <c r="M22" s="190"/>
      <c r="N22" s="190"/>
      <c r="O22" s="19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 t="s">
        <v>81</v>
      </c>
      <c r="B23" s="156" t="s">
        <v>82</v>
      </c>
      <c r="C23" s="50">
        <f>(1/(2*PI()*D13*C22*10^-12))</f>
        <v>16931.376924669716</v>
      </c>
      <c r="D23" s="156" t="s">
        <v>23</v>
      </c>
      <c r="E23" s="7">
        <f>C23/1000</f>
        <v>16.931376924669717</v>
      </c>
      <c r="F23" s="156" t="s">
        <v>27</v>
      </c>
      <c r="G23" s="28">
        <f>E23/1000</f>
        <v>1.6931376924669717E-2</v>
      </c>
      <c r="H23" s="156" t="s">
        <v>28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customHeight="1">
      <c r="A24" s="176" t="s">
        <v>71</v>
      </c>
      <c r="B24" s="176"/>
      <c r="C24" s="176"/>
      <c r="D24" s="176"/>
      <c r="E24" s="176"/>
      <c r="F24" s="8"/>
      <c r="G24" s="8"/>
      <c r="H24" s="19"/>
      <c r="I24" s="19"/>
      <c r="J24" s="19"/>
      <c r="K24" s="187" t="s">
        <v>170</v>
      </c>
      <c r="L24" s="187"/>
      <c r="M24" s="187"/>
      <c r="N24" s="187"/>
      <c r="O24" s="18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11" t="s">
        <v>104</v>
      </c>
      <c r="B25" s="156"/>
      <c r="C25" s="20">
        <f>+C6</f>
        <v>5</v>
      </c>
      <c r="D25" s="20">
        <f>+C5</f>
        <v>1</v>
      </c>
      <c r="E25" s="5"/>
      <c r="F25" s="156" t="s">
        <v>52</v>
      </c>
      <c r="G25" s="5">
        <f>+F10</f>
        <v>-20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11" t="s">
        <v>36</v>
      </c>
      <c r="B26" s="156"/>
      <c r="C26" s="20">
        <f>+C8</f>
        <v>-0.3</v>
      </c>
      <c r="D26" s="20">
        <f>+C7</f>
        <v>-0.1</v>
      </c>
      <c r="E26" s="5"/>
      <c r="F26" s="156" t="s">
        <v>103</v>
      </c>
      <c r="G26" s="5">
        <f>+F11</f>
        <v>-1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15" t="s">
        <v>110</v>
      </c>
      <c r="B27" s="156"/>
      <c r="C27" s="21">
        <f>(F10*C26)+F11</f>
        <v>5</v>
      </c>
      <c r="D27" s="21">
        <f>(F10*D26)+F11</f>
        <v>1</v>
      </c>
      <c r="E27" s="14"/>
      <c r="F27" s="14"/>
      <c r="G27" s="14"/>
      <c r="H27" s="14"/>
      <c r="I27" s="14"/>
      <c r="J27" s="14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/>
      <c r="B28" s="156"/>
      <c r="C28" s="7"/>
      <c r="D28" s="156"/>
      <c r="E28" s="5"/>
      <c r="F28" s="5"/>
      <c r="G28" s="5"/>
      <c r="H28" s="5"/>
      <c r="I28" s="5"/>
      <c r="J28" s="5"/>
      <c r="K28" s="5"/>
      <c r="L28" s="5"/>
      <c r="M28" s="5"/>
      <c r="N28" s="5"/>
      <c r="O28" s="37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/>
      <c r="B29" s="156"/>
      <c r="C29" s="7"/>
      <c r="D29" s="156"/>
      <c r="E29" s="5"/>
      <c r="F29" s="5"/>
      <c r="G29" s="5"/>
      <c r="H29" s="5"/>
      <c r="I29" s="5"/>
      <c r="J29" s="5"/>
      <c r="K29" s="5"/>
      <c r="L29" s="5"/>
      <c r="M29" s="5"/>
      <c r="N29" s="5"/>
      <c r="O29" s="37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156"/>
      <c r="C30" s="7"/>
      <c r="D30" s="156"/>
      <c r="E30" s="5"/>
      <c r="F30" s="5"/>
      <c r="G30" s="5"/>
      <c r="H30" s="5"/>
      <c r="I30" s="5"/>
      <c r="J30" s="5"/>
      <c r="K30" s="5"/>
      <c r="L30" s="5"/>
      <c r="M30" s="5"/>
      <c r="N30" s="5"/>
      <c r="O30" s="3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156"/>
      <c r="C31" s="7"/>
      <c r="D31" s="156"/>
      <c r="E31" s="5"/>
      <c r="F31" s="5"/>
      <c r="G31" s="5"/>
      <c r="H31" s="5"/>
      <c r="I31" s="5"/>
      <c r="J31" s="5"/>
      <c r="K31" s="5"/>
      <c r="L31" s="5"/>
      <c r="M31" s="5"/>
      <c r="N31" s="5"/>
      <c r="O31" s="37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156"/>
      <c r="C32" s="7"/>
      <c r="D32" s="156"/>
      <c r="E32" s="5"/>
      <c r="F32" s="5"/>
      <c r="G32" s="5"/>
      <c r="H32" s="5"/>
      <c r="I32" s="5"/>
      <c r="J32" s="5"/>
      <c r="K32" s="5"/>
      <c r="L32" s="5"/>
      <c r="M32" s="5"/>
      <c r="N32" s="5"/>
      <c r="O32" s="37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156"/>
      <c r="C33" s="7"/>
      <c r="D33" s="156"/>
      <c r="E33" s="5"/>
      <c r="F33" s="5"/>
      <c r="G33" s="5"/>
      <c r="H33" s="5"/>
      <c r="I33" s="5"/>
      <c r="J33" s="5"/>
      <c r="K33" s="5"/>
      <c r="L33" s="5"/>
      <c r="M33" s="5"/>
      <c r="N33" s="5"/>
      <c r="O33" s="37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156"/>
      <c r="C34" s="7"/>
      <c r="D34" s="156"/>
      <c r="E34" s="5"/>
      <c r="F34" s="5"/>
      <c r="G34" s="5"/>
      <c r="H34" s="5"/>
      <c r="I34" s="5"/>
      <c r="J34" s="5"/>
      <c r="K34" s="5"/>
      <c r="L34" s="5"/>
      <c r="M34" s="5"/>
      <c r="N34" s="5"/>
      <c r="O34" s="37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156"/>
      <c r="C35" s="7"/>
      <c r="D35" s="156"/>
      <c r="E35" s="5"/>
      <c r="F35" s="5"/>
      <c r="G35" s="5"/>
      <c r="H35" s="5"/>
      <c r="I35" s="5"/>
      <c r="J35" s="5"/>
      <c r="K35" s="5"/>
      <c r="L35" s="5"/>
      <c r="M35" s="5"/>
      <c r="N35" s="5"/>
      <c r="O35" s="37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156"/>
      <c r="C36" s="7"/>
      <c r="D36" s="156"/>
      <c r="E36" s="5"/>
      <c r="F36" s="5"/>
      <c r="G36" s="5"/>
      <c r="H36" s="5"/>
      <c r="I36" s="5"/>
      <c r="J36" s="5"/>
      <c r="K36" s="5"/>
      <c r="L36" s="5"/>
      <c r="M36" s="5"/>
      <c r="N36" s="5"/>
      <c r="O36" s="37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156"/>
      <c r="C37" s="7"/>
      <c r="D37" s="156"/>
      <c r="E37" s="5"/>
      <c r="F37" s="5"/>
      <c r="G37" s="5"/>
      <c r="H37" s="5"/>
      <c r="I37" s="5"/>
      <c r="J37" s="5"/>
      <c r="K37" s="5"/>
      <c r="L37" s="5"/>
      <c r="M37" s="5"/>
      <c r="N37" s="5"/>
      <c r="O37" s="37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156"/>
      <c r="C38" s="7"/>
      <c r="D38" s="156"/>
      <c r="E38" s="5"/>
      <c r="F38" s="5"/>
      <c r="G38" s="5"/>
      <c r="H38" s="5"/>
      <c r="I38" s="5"/>
      <c r="J38" s="5"/>
      <c r="K38" s="5"/>
      <c r="L38" s="5"/>
      <c r="M38" s="5"/>
      <c r="N38" s="5"/>
      <c r="O38" s="37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156"/>
      <c r="C39" s="7"/>
      <c r="D39" s="156"/>
      <c r="E39" s="5"/>
      <c r="F39" s="5"/>
      <c r="G39" s="5"/>
      <c r="H39" s="5"/>
      <c r="I39" s="5"/>
      <c r="J39" s="5"/>
      <c r="K39" s="5"/>
      <c r="L39" s="5"/>
      <c r="M39" s="5"/>
      <c r="N39" s="5"/>
      <c r="O39" s="37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156"/>
      <c r="C40" s="7"/>
      <c r="D40" s="156"/>
      <c r="E40" s="5"/>
      <c r="F40" s="5"/>
      <c r="G40" s="5"/>
      <c r="H40" s="5"/>
      <c r="I40" s="5"/>
      <c r="J40" s="5"/>
      <c r="K40" s="5"/>
      <c r="L40" s="5"/>
      <c r="M40" s="5"/>
      <c r="N40" s="5"/>
      <c r="O40" s="37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156"/>
      <c r="C41" s="7"/>
      <c r="D41" s="156"/>
      <c r="E41" s="5"/>
      <c r="F41" s="5"/>
      <c r="G41" s="5"/>
      <c r="H41" s="5"/>
      <c r="I41" s="5"/>
      <c r="J41" s="5"/>
      <c r="K41" s="5"/>
      <c r="L41" s="5"/>
      <c r="M41" s="5"/>
      <c r="N41" s="5"/>
      <c r="O41" s="37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156"/>
      <c r="C42" s="7"/>
      <c r="D42" s="156"/>
      <c r="E42" s="5"/>
      <c r="F42" s="5"/>
      <c r="G42" s="5"/>
      <c r="H42" s="5"/>
      <c r="I42" s="5"/>
      <c r="J42" s="5"/>
      <c r="K42" s="5"/>
      <c r="L42" s="5"/>
      <c r="M42" s="5"/>
      <c r="N42" s="5"/>
      <c r="O42" s="37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156"/>
      <c r="C43" s="7"/>
      <c r="D43" s="156"/>
      <c r="E43" s="5"/>
      <c r="F43" s="5"/>
      <c r="G43" s="5"/>
      <c r="H43" s="5"/>
      <c r="I43" s="5"/>
      <c r="J43" s="5"/>
      <c r="K43" s="5"/>
      <c r="L43" s="5"/>
      <c r="M43" s="5"/>
      <c r="N43" s="5"/>
      <c r="O43" s="37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16"/>
      <c r="B44" s="156"/>
      <c r="C44" s="7"/>
      <c r="D44" s="156"/>
      <c r="E44" s="5"/>
      <c r="F44" s="5"/>
      <c r="G44" s="5"/>
      <c r="H44" s="5"/>
      <c r="I44" s="5"/>
      <c r="J44" s="5"/>
      <c r="K44" s="5"/>
      <c r="L44" s="5"/>
      <c r="M44" s="5"/>
      <c r="N44" s="5"/>
      <c r="O44" s="37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156"/>
      <c r="C45" s="7"/>
      <c r="D45" s="156"/>
      <c r="E45" s="5"/>
      <c r="F45" s="5"/>
      <c r="G45" s="5"/>
      <c r="H45" s="5"/>
      <c r="I45" s="5"/>
      <c r="J45" s="5"/>
      <c r="K45" s="5"/>
      <c r="L45" s="5"/>
      <c r="M45" s="5"/>
      <c r="N45" s="5"/>
      <c r="O45" s="37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156"/>
      <c r="C46" s="7"/>
      <c r="D46" s="156"/>
      <c r="E46" s="5"/>
      <c r="F46" s="5"/>
      <c r="G46" s="5"/>
      <c r="H46" s="5"/>
      <c r="I46" s="5"/>
      <c r="J46" s="5"/>
      <c r="K46" s="5"/>
      <c r="L46" s="5"/>
      <c r="M46" s="5"/>
      <c r="N46" s="5"/>
      <c r="O46" s="37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156"/>
      <c r="C47" s="7"/>
      <c r="D47" s="156"/>
      <c r="E47" s="5"/>
      <c r="F47" s="5"/>
      <c r="G47" s="5"/>
      <c r="H47" s="5"/>
      <c r="I47" s="5"/>
      <c r="J47" s="5"/>
      <c r="K47" s="5"/>
      <c r="L47" s="5"/>
      <c r="M47" s="5"/>
      <c r="N47" s="5"/>
      <c r="O47" s="37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16" t="s">
        <v>37</v>
      </c>
      <c r="B48" s="156"/>
      <c r="C48" s="7"/>
      <c r="D48" s="156"/>
      <c r="E48" s="5"/>
      <c r="F48" s="5"/>
      <c r="G48" s="5"/>
      <c r="H48" s="5"/>
      <c r="I48" s="5"/>
      <c r="J48" s="5"/>
      <c r="K48" s="5"/>
      <c r="L48" s="5"/>
      <c r="M48" s="5"/>
      <c r="N48" s="5"/>
      <c r="O48" s="37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>
      <c r="A49" s="11"/>
      <c r="B49" s="156"/>
      <c r="C49" s="164" t="s">
        <v>187</v>
      </c>
      <c r="D49" s="164"/>
      <c r="E49" s="164"/>
      <c r="F49" s="164"/>
      <c r="G49" s="5"/>
      <c r="H49" s="5"/>
      <c r="I49" s="5"/>
      <c r="J49" s="5"/>
      <c r="K49" s="5"/>
      <c r="L49" s="5"/>
      <c r="M49" s="5"/>
      <c r="N49" s="5"/>
      <c r="O49" s="147"/>
      <c r="P49" s="143"/>
      <c r="Q49" s="143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7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37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37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37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7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37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37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7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37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37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37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37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7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37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37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37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>
      <c r="A66" s="5"/>
      <c r="B66" s="5"/>
      <c r="C66" s="164" t="s">
        <v>188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37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37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3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37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37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37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37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37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37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37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37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37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37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37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37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4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37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4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37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46">
      <c r="A83" s="16" t="s">
        <v>37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37"/>
      <c r="P83" s="5"/>
      <c r="Q83" s="5"/>
      <c r="R83" s="5"/>
      <c r="S83" s="5"/>
      <c r="T83" s="5"/>
      <c r="U83" s="5"/>
      <c r="V83" s="5"/>
      <c r="W83" s="5"/>
      <c r="X83" s="5"/>
      <c r="Y83" s="188" t="s">
        <v>190</v>
      </c>
      <c r="Z83" s="188"/>
    </row>
    <row r="84" spans="1:46">
      <c r="A84" s="16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137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</row>
    <row r="85" spans="1:46">
      <c r="A85" s="16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137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</row>
    <row r="86" spans="1:46">
      <c r="A86" s="162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137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</row>
    <row r="87" spans="1:46">
      <c r="A87" s="16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37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</row>
    <row r="88" spans="1:46">
      <c r="A88" s="16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137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</row>
    <row r="89" spans="1:46">
      <c r="A89" s="16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137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</row>
    <row r="90" spans="1:46">
      <c r="A90" s="162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137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</row>
    <row r="91" spans="1:46">
      <c r="A91" s="162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137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</row>
    <row r="92" spans="1:46">
      <c r="A92" s="162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137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</row>
    <row r="93" spans="1:46">
      <c r="A93" s="162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137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</row>
    <row r="94" spans="1:46">
      <c r="A94" s="16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137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</row>
    <row r="95" spans="1:46">
      <c r="A95" s="16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137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</row>
    <row r="96" spans="1:46">
      <c r="A96" s="162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137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</row>
    <row r="97" spans="1:46">
      <c r="A97" s="162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137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</row>
    <row r="98" spans="1:46">
      <c r="A98" s="162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137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</row>
    <row r="99" spans="1:46">
      <c r="A99" s="162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137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</row>
    <row r="100" spans="1:46">
      <c r="A100" s="16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137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</row>
    <row r="101" spans="1:46">
      <c r="A101" s="16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137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</row>
    <row r="102" spans="1:46">
      <c r="A102" s="162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137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</row>
    <row r="103" spans="1:46">
      <c r="A103" s="162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137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</row>
    <row r="104" spans="1:46">
      <c r="A104" s="162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137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</row>
    <row r="105" spans="1:46">
      <c r="A105" s="162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137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</row>
    <row r="106" spans="1:46">
      <c r="A106" s="16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137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</row>
    <row r="107" spans="1:46">
      <c r="A107" s="16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137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</row>
    <row r="108" spans="1:46">
      <c r="A108" s="16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137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</row>
    <row r="109" spans="1:46">
      <c r="A109" s="162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137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</row>
    <row r="110" spans="1:46">
      <c r="A110" s="163"/>
      <c r="O110" s="138"/>
    </row>
    <row r="111" spans="1:46">
      <c r="A111" s="163"/>
      <c r="O111" s="138"/>
    </row>
    <row r="112" spans="1:46">
      <c r="A112" s="163"/>
      <c r="O112" s="138"/>
    </row>
    <row r="113" spans="1:15">
      <c r="A113" s="163"/>
      <c r="O113" s="138"/>
    </row>
    <row r="114" spans="1:15">
      <c r="A114" s="163"/>
      <c r="O114" s="138"/>
    </row>
    <row r="115" spans="1:15">
      <c r="A115" s="163"/>
      <c r="O115" s="138"/>
    </row>
    <row r="116" spans="1:15">
      <c r="A116" s="163"/>
      <c r="O116" s="138"/>
    </row>
    <row r="117" spans="1:15">
      <c r="A117" s="163"/>
      <c r="O117" s="138"/>
    </row>
    <row r="118" spans="1:15">
      <c r="A118" s="163"/>
      <c r="O118" s="138"/>
    </row>
    <row r="119" spans="1:15">
      <c r="A119" s="163"/>
      <c r="O119" s="138"/>
    </row>
    <row r="120" spans="1:15">
      <c r="A120" s="163"/>
      <c r="O120" s="138"/>
    </row>
    <row r="121" spans="1:15">
      <c r="A121" s="163"/>
      <c r="O121" s="138"/>
    </row>
    <row r="122" spans="1:15">
      <c r="A122" s="163"/>
      <c r="O122" s="138"/>
    </row>
    <row r="123" spans="1:15">
      <c r="A123" s="163"/>
      <c r="O123" s="138"/>
    </row>
    <row r="124" spans="1:15">
      <c r="A124" s="163"/>
      <c r="O124" s="138"/>
    </row>
    <row r="125" spans="1:15">
      <c r="A125" s="163"/>
      <c r="O125" s="138"/>
    </row>
    <row r="126" spans="1:15">
      <c r="A126" s="163"/>
      <c r="O126" s="138"/>
    </row>
    <row r="127" spans="1:15">
      <c r="A127" s="163"/>
      <c r="O127" s="138"/>
    </row>
    <row r="128" spans="1:15">
      <c r="A128" s="163"/>
      <c r="O128" s="138"/>
    </row>
    <row r="129" spans="1:15">
      <c r="A129" s="163"/>
      <c r="O129" s="138"/>
    </row>
    <row r="130" spans="1:15">
      <c r="A130" s="163"/>
      <c r="O130" s="138"/>
    </row>
    <row r="131" spans="1:15">
      <c r="A131" s="163"/>
      <c r="O131" s="138"/>
    </row>
    <row r="132" spans="1:15">
      <c r="A132" s="163"/>
      <c r="O132" s="138"/>
    </row>
    <row r="133" spans="1:15">
      <c r="A133" s="163"/>
      <c r="O133" s="138"/>
    </row>
    <row r="134" spans="1:15">
      <c r="A134" s="163"/>
      <c r="O134" s="138"/>
    </row>
    <row r="135" spans="1:15">
      <c r="O135" s="138"/>
    </row>
    <row r="136" spans="1:15">
      <c r="O136" s="138"/>
    </row>
    <row r="137" spans="1:15">
      <c r="O137" s="138"/>
    </row>
    <row r="138" spans="1:15">
      <c r="O138" s="138"/>
    </row>
  </sheetData>
  <mergeCells count="22">
    <mergeCell ref="Y83:Z83"/>
    <mergeCell ref="S1:U1"/>
    <mergeCell ref="S2:U2"/>
    <mergeCell ref="J10:P10"/>
    <mergeCell ref="K24:O24"/>
    <mergeCell ref="K22:O22"/>
    <mergeCell ref="K20:O20"/>
    <mergeCell ref="K21:O21"/>
    <mergeCell ref="F12:G12"/>
    <mergeCell ref="M14:P15"/>
    <mergeCell ref="H13:J13"/>
    <mergeCell ref="K13:L13"/>
    <mergeCell ref="J9:L9"/>
    <mergeCell ref="N9:P9"/>
    <mergeCell ref="F9:G9"/>
    <mergeCell ref="A24:E24"/>
    <mergeCell ref="A1:E1"/>
    <mergeCell ref="A2:E2"/>
    <mergeCell ref="A17:E17"/>
    <mergeCell ref="A18:E18"/>
    <mergeCell ref="A21:E21"/>
    <mergeCell ref="A9:B9"/>
  </mergeCells>
  <dataValidations count="2">
    <dataValidation type="decimal" allowBlank="1" showInputMessage="1" showErrorMessage="1" errorTitle="Power Supply" error="Vcc must be between 3V and 32V" promptTitle="Power Supply for Op-Amp" prompt="Vcc between 3V and 32V" sqref="C3">
      <formula1>3</formula1>
      <formula2>32</formula2>
    </dataValidation>
    <dataValidation type="decimal" allowBlank="1" showInputMessage="1" showErrorMessage="1" errorTitle="Bias" error="Vref must be between 3V and 32V" promptTitle="Vcc Bias" prompt="Bias the Op-Amp to Vcc_x000a_By setting Vref=Vcc" sqref="C4">
      <formula1>3</formula1>
      <formula2>32</formula2>
    </dataValidation>
  </dataValidations>
  <hyperlinks>
    <hyperlink ref="K22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5"/>
  <dimension ref="A1:AK100"/>
  <sheetViews>
    <sheetView zoomScaleNormal="100" workbookViewId="0">
      <selection sqref="A1:N1"/>
    </sheetView>
  </sheetViews>
  <sheetFormatPr defaultColWidth="8.85546875" defaultRowHeight="15"/>
  <cols>
    <col min="1" max="2" width="15.7109375" style="1" customWidth="1"/>
    <col min="3" max="3" width="13.7109375" style="1" customWidth="1"/>
    <col min="4" max="4" width="11.7109375" style="1" customWidth="1"/>
    <col min="5" max="5" width="12.7109375" style="1" customWidth="1"/>
    <col min="6" max="6" width="10.7109375" style="1" customWidth="1"/>
    <col min="7" max="8" width="9.7109375" style="1" customWidth="1"/>
    <col min="9" max="14" width="8.85546875" style="1"/>
    <col min="15" max="36" width="3.42578125" style="1" customWidth="1"/>
    <col min="37" max="16384" width="8.85546875" style="1"/>
  </cols>
  <sheetData>
    <row r="1" spans="1:37" ht="24" customHeight="1">
      <c r="A1" s="197" t="s">
        <v>111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37"/>
      <c r="P1" s="37"/>
      <c r="Q1" s="37"/>
      <c r="R1" s="37"/>
      <c r="S1" s="37"/>
      <c r="T1" s="37"/>
      <c r="U1" s="37"/>
      <c r="V1" s="37"/>
      <c r="W1" s="37"/>
      <c r="X1" s="37"/>
      <c r="Y1" s="208" t="s">
        <v>116</v>
      </c>
      <c r="Z1" s="208"/>
      <c r="AA1" s="37"/>
      <c r="AB1" s="37"/>
      <c r="AC1" s="209" t="s">
        <v>130</v>
      </c>
      <c r="AD1" s="209"/>
      <c r="AE1" s="209"/>
      <c r="AF1" s="209"/>
      <c r="AG1" s="37"/>
      <c r="AH1" s="37"/>
      <c r="AI1" s="37"/>
      <c r="AJ1" s="37"/>
      <c r="AK1" s="5"/>
    </row>
    <row r="2" spans="1:37" ht="19.350000000000001" customHeight="1">
      <c r="A2" s="215" t="s">
        <v>181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6"/>
      <c r="O2" s="83"/>
      <c r="P2" s="83"/>
      <c r="Q2" s="83"/>
      <c r="R2" s="83"/>
      <c r="S2" s="83"/>
      <c r="T2" s="83"/>
      <c r="U2" s="83"/>
      <c r="V2" s="83"/>
      <c r="W2" s="83"/>
      <c r="X2" s="83"/>
      <c r="Y2" s="83">
        <v>10</v>
      </c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5"/>
    </row>
    <row r="3" spans="1:37" ht="19.350000000000001" customHeight="1">
      <c r="A3" s="5" t="s">
        <v>112</v>
      </c>
      <c r="B3" s="5"/>
      <c r="C3" s="5"/>
      <c r="D3" s="5"/>
      <c r="E3" s="5"/>
      <c r="F3" s="5"/>
      <c r="G3" s="5"/>
      <c r="H3" s="82" t="s">
        <v>113</v>
      </c>
      <c r="I3" s="5"/>
      <c r="J3" s="5"/>
      <c r="K3" s="9"/>
      <c r="L3" s="9"/>
      <c r="M3" s="9"/>
      <c r="N3" s="9"/>
      <c r="O3" s="83"/>
      <c r="P3" s="110" t="s">
        <v>164</v>
      </c>
      <c r="Q3" s="83"/>
      <c r="R3" s="83"/>
      <c r="S3" s="83"/>
      <c r="T3" s="83"/>
      <c r="U3" s="83"/>
      <c r="V3" s="83"/>
      <c r="W3" s="83"/>
      <c r="X3" s="83"/>
      <c r="Y3" s="83">
        <v>9</v>
      </c>
      <c r="Z3" s="83"/>
      <c r="AA3" s="110" t="s">
        <v>161</v>
      </c>
      <c r="AB3" s="83"/>
      <c r="AC3" s="83"/>
      <c r="AD3" s="83"/>
      <c r="AE3" s="83"/>
      <c r="AF3" s="83"/>
      <c r="AG3" s="83"/>
      <c r="AH3" s="83"/>
      <c r="AI3" s="83"/>
      <c r="AJ3" s="83"/>
      <c r="AK3" s="5"/>
    </row>
    <row r="4" spans="1:37" ht="19.350000000000001" customHeight="1">
      <c r="A4" s="5" t="s">
        <v>114</v>
      </c>
      <c r="B4" s="5"/>
      <c r="C4" s="108" t="s">
        <v>138</v>
      </c>
      <c r="D4" s="108" t="s">
        <v>115</v>
      </c>
      <c r="E4" s="178" t="s">
        <v>132</v>
      </c>
      <c r="F4" s="178"/>
      <c r="G4" s="5" t="s">
        <v>139</v>
      </c>
      <c r="H4" s="5"/>
      <c r="I4" s="5"/>
      <c r="J4" s="5"/>
      <c r="K4" s="5"/>
      <c r="L4" s="5"/>
      <c r="M4" s="5"/>
      <c r="N4" s="5"/>
      <c r="O4" s="83"/>
      <c r="P4" s="84" t="s">
        <v>165</v>
      </c>
      <c r="Q4" s="83"/>
      <c r="R4" s="83"/>
      <c r="S4" s="83"/>
      <c r="T4" s="83"/>
      <c r="U4" s="83"/>
      <c r="V4" s="83"/>
      <c r="W4" s="83"/>
      <c r="X4" s="83"/>
      <c r="Y4" s="83">
        <v>8</v>
      </c>
      <c r="Z4" s="83"/>
      <c r="AA4" s="110" t="s">
        <v>162</v>
      </c>
      <c r="AB4" s="83"/>
      <c r="AC4" s="83"/>
      <c r="AD4" s="83"/>
      <c r="AE4" s="83"/>
      <c r="AF4" s="83"/>
      <c r="AG4" s="83"/>
      <c r="AH4" s="83"/>
      <c r="AI4" s="83"/>
      <c r="AJ4" s="83"/>
      <c r="AK4" s="5"/>
    </row>
    <row r="5" spans="1:37" ht="19.350000000000001" customHeight="1">
      <c r="A5" s="5" t="s">
        <v>140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83"/>
      <c r="P5" s="86" t="s">
        <v>166</v>
      </c>
      <c r="Q5" s="83"/>
      <c r="R5" s="83"/>
      <c r="S5" s="83"/>
      <c r="T5" s="83"/>
      <c r="U5" s="83"/>
      <c r="V5" s="83"/>
      <c r="W5" s="83"/>
      <c r="X5" s="83"/>
      <c r="Y5" s="83">
        <v>7</v>
      </c>
      <c r="Z5" s="83"/>
      <c r="AA5" s="110" t="s">
        <v>163</v>
      </c>
      <c r="AB5" s="83"/>
      <c r="AC5" s="83"/>
      <c r="AD5" s="83"/>
      <c r="AE5" s="83"/>
      <c r="AF5" s="83"/>
      <c r="AG5" s="83"/>
      <c r="AH5" s="83"/>
      <c r="AI5" s="83"/>
      <c r="AJ5" s="83"/>
      <c r="AK5" s="5"/>
    </row>
    <row r="6" spans="1:37" ht="19.350000000000001" customHeight="1">
      <c r="A6" s="5" t="s">
        <v>131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83"/>
      <c r="P6" s="83"/>
      <c r="Q6" s="83"/>
      <c r="R6" s="83"/>
      <c r="S6" s="83"/>
      <c r="T6" s="83"/>
      <c r="U6" s="83"/>
      <c r="V6" s="83"/>
      <c r="W6" s="83"/>
      <c r="X6" s="83"/>
      <c r="Y6" s="83">
        <v>6</v>
      </c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5"/>
    </row>
    <row r="7" spans="1:37" ht="19.350000000000001" customHeight="1">
      <c r="A7" s="211" t="s">
        <v>133</v>
      </c>
      <c r="B7" s="211"/>
      <c r="C7" s="211"/>
      <c r="D7" s="5"/>
      <c r="E7" s="178" t="s">
        <v>134</v>
      </c>
      <c r="F7" s="178"/>
      <c r="G7" s="178"/>
      <c r="H7" s="178"/>
      <c r="I7" s="5"/>
      <c r="J7" s="5"/>
      <c r="K7" s="5"/>
      <c r="L7" s="5"/>
      <c r="M7" s="5"/>
      <c r="N7" s="5"/>
      <c r="O7" s="83"/>
      <c r="P7" s="83"/>
      <c r="Q7" s="83"/>
      <c r="R7" s="83"/>
      <c r="S7" s="83"/>
      <c r="T7" s="83"/>
      <c r="U7" s="83"/>
      <c r="V7" s="83"/>
      <c r="W7" s="83"/>
      <c r="X7" s="83"/>
      <c r="Y7" s="83">
        <v>5</v>
      </c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5"/>
    </row>
    <row r="8" spans="1:37" ht="19.350000000000001" customHeight="1">
      <c r="A8" s="5" t="s">
        <v>137</v>
      </c>
      <c r="B8" s="5"/>
      <c r="C8" s="178" t="s">
        <v>135</v>
      </c>
      <c r="D8" s="178"/>
      <c r="E8" s="178"/>
      <c r="F8" s="178"/>
      <c r="G8" s="171">
        <f>(D12-C12)/(F12-E12)</f>
        <v>3.0303030303030303</v>
      </c>
      <c r="H8" s="217" t="str">
        <f>+M54</f>
        <v>Select Pos m Pos b</v>
      </c>
      <c r="I8" s="217"/>
      <c r="J8" s="189"/>
      <c r="K8" s="189"/>
      <c r="L8" s="189"/>
      <c r="M8" s="189"/>
      <c r="N8" s="189"/>
      <c r="O8" s="83"/>
      <c r="P8" s="83"/>
      <c r="Q8" s="84"/>
      <c r="R8" s="83"/>
      <c r="S8" s="83"/>
      <c r="T8" s="83"/>
      <c r="U8" s="83"/>
      <c r="V8" s="83"/>
      <c r="W8" s="83"/>
      <c r="X8" s="83"/>
      <c r="Y8" s="83">
        <v>4</v>
      </c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5"/>
    </row>
    <row r="9" spans="1:37" ht="19.350000000000001" customHeight="1">
      <c r="A9" s="5" t="s">
        <v>141</v>
      </c>
      <c r="B9" s="5"/>
      <c r="C9" s="108"/>
      <c r="D9" s="81">
        <f>D12-(G12*F12)</f>
        <v>0.96969696969696972</v>
      </c>
      <c r="E9" s="210" t="s">
        <v>174</v>
      </c>
      <c r="F9" s="210"/>
      <c r="G9" s="171">
        <f>C12-G8*E12</f>
        <v>0.96969696969696972</v>
      </c>
      <c r="H9" s="217"/>
      <c r="I9" s="217"/>
      <c r="J9" s="189" t="s">
        <v>84</v>
      </c>
      <c r="K9" s="189"/>
      <c r="L9" s="189"/>
      <c r="M9" s="189"/>
      <c r="N9" s="189"/>
      <c r="O9" s="83"/>
      <c r="P9" s="84" t="s">
        <v>160</v>
      </c>
      <c r="Q9" s="83"/>
      <c r="R9" s="83"/>
      <c r="S9" s="83"/>
      <c r="T9" s="83"/>
      <c r="U9" s="83"/>
      <c r="V9" s="83"/>
      <c r="W9" s="83"/>
      <c r="X9" s="83"/>
      <c r="Y9" s="83">
        <v>3</v>
      </c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5"/>
    </row>
    <row r="10" spans="1:37" ht="19.350000000000001" customHeight="1">
      <c r="A10" s="5"/>
      <c r="B10" s="108"/>
      <c r="C10" s="108" t="str">
        <f>+A64</f>
        <v>VoutZS =</v>
      </c>
      <c r="D10" s="108" t="str">
        <f>+A63</f>
        <v>VoutFS =</v>
      </c>
      <c r="E10" s="108" t="str">
        <f>+A66</f>
        <v>VinZS =</v>
      </c>
      <c r="F10" s="108" t="str">
        <f>+A65</f>
        <v>VinFS =</v>
      </c>
      <c r="G10" s="108" t="s">
        <v>123</v>
      </c>
      <c r="H10" s="108" t="s">
        <v>118</v>
      </c>
      <c r="I10" s="5"/>
      <c r="J10" s="190" t="s">
        <v>85</v>
      </c>
      <c r="K10" s="190"/>
      <c r="L10" s="190"/>
      <c r="M10" s="190"/>
      <c r="N10" s="190"/>
      <c r="O10" s="83"/>
      <c r="P10" s="84" t="s">
        <v>127</v>
      </c>
      <c r="Q10" s="83"/>
      <c r="R10" s="83"/>
      <c r="S10" s="83"/>
      <c r="T10" s="83"/>
      <c r="U10" s="83"/>
      <c r="V10" s="83"/>
      <c r="W10" s="83"/>
      <c r="X10" s="83"/>
      <c r="Y10" s="83">
        <v>2</v>
      </c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5"/>
    </row>
    <row r="11" spans="1:37" ht="19.350000000000001" customHeight="1">
      <c r="A11" s="88" t="s">
        <v>124</v>
      </c>
      <c r="B11" s="88" t="s">
        <v>36</v>
      </c>
      <c r="C11" s="96" t="s">
        <v>121</v>
      </c>
      <c r="D11" s="96" t="s">
        <v>120</v>
      </c>
      <c r="E11" s="96" t="s">
        <v>122</v>
      </c>
      <c r="F11" s="96" t="s">
        <v>119</v>
      </c>
      <c r="G11" s="96" t="s">
        <v>123</v>
      </c>
      <c r="H11" s="96" t="s">
        <v>118</v>
      </c>
      <c r="I11" s="5"/>
      <c r="J11" s="5"/>
      <c r="K11" s="5"/>
      <c r="L11" s="5"/>
      <c r="M11" s="5"/>
      <c r="N11" s="5"/>
      <c r="O11" s="83"/>
      <c r="P11" s="84" t="s">
        <v>128</v>
      </c>
      <c r="Q11" s="83"/>
      <c r="R11" s="83"/>
      <c r="S11" s="83"/>
      <c r="T11" s="83"/>
      <c r="U11" s="83"/>
      <c r="V11" s="83"/>
      <c r="W11" s="83"/>
      <c r="X11" s="83"/>
      <c r="Y11" s="83">
        <v>1</v>
      </c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5"/>
    </row>
    <row r="12" spans="1:37" ht="19.350000000000001" customHeight="1">
      <c r="A12" s="5"/>
      <c r="B12" s="5"/>
      <c r="C12" s="117">
        <f>+B64</f>
        <v>1</v>
      </c>
      <c r="D12" s="118">
        <f>+B63</f>
        <v>4</v>
      </c>
      <c r="E12" s="119">
        <f>+B66</f>
        <v>0.01</v>
      </c>
      <c r="F12" s="120">
        <f>+B65</f>
        <v>1</v>
      </c>
      <c r="G12" s="172">
        <f>+G8</f>
        <v>3.0303030303030303</v>
      </c>
      <c r="H12" s="172">
        <f>+G9</f>
        <v>0.96969696969696972</v>
      </c>
      <c r="I12" s="5"/>
      <c r="J12" s="187" t="s">
        <v>170</v>
      </c>
      <c r="K12" s="187"/>
      <c r="L12" s="187"/>
      <c r="M12" s="187"/>
      <c r="N12" s="212"/>
      <c r="O12" s="83">
        <v>-10</v>
      </c>
      <c r="P12" s="83">
        <v>-9</v>
      </c>
      <c r="Q12" s="83">
        <v>-8</v>
      </c>
      <c r="R12" s="83">
        <v>-7</v>
      </c>
      <c r="S12" s="83">
        <v>-6</v>
      </c>
      <c r="T12" s="83">
        <v>-5</v>
      </c>
      <c r="U12" s="83">
        <v>-4</v>
      </c>
      <c r="V12" s="83">
        <v>-3</v>
      </c>
      <c r="W12" s="83">
        <v>-2</v>
      </c>
      <c r="X12" s="83">
        <v>-1</v>
      </c>
      <c r="Y12" s="83">
        <v>0</v>
      </c>
      <c r="Z12" s="85">
        <v>0</v>
      </c>
      <c r="AA12" s="85">
        <v>1</v>
      </c>
      <c r="AB12" s="85">
        <v>2</v>
      </c>
      <c r="AC12" s="85">
        <v>3</v>
      </c>
      <c r="AD12" s="85">
        <v>4</v>
      </c>
      <c r="AE12" s="85">
        <v>5</v>
      </c>
      <c r="AF12" s="85">
        <v>6</v>
      </c>
      <c r="AG12" s="85">
        <v>7</v>
      </c>
      <c r="AH12" s="85">
        <v>8</v>
      </c>
      <c r="AI12" s="85">
        <v>9</v>
      </c>
      <c r="AJ12" s="85">
        <v>10</v>
      </c>
      <c r="AK12" s="207" t="s">
        <v>117</v>
      </c>
    </row>
    <row r="13" spans="1:37" ht="19.350000000000001" customHeight="1">
      <c r="A13" s="214" t="s">
        <v>114</v>
      </c>
      <c r="B13" s="214"/>
      <c r="C13" s="106" t="s">
        <v>142</v>
      </c>
      <c r="D13" s="106"/>
      <c r="E13" s="112" t="str">
        <f>IF(AND(G8&gt;0,G9&gt;0),A58,IF(AND(G8&gt;0,G9&lt;0),A67,IF(AND(G8&lt;0,G9&gt;0),A76,IF(AND(G8&lt;0,G9&lt;0),A85,"Try again"))))</f>
        <v>Vout = (m * Vin) + b</v>
      </c>
      <c r="F13" s="107"/>
      <c r="G13" s="111">
        <f>(G8*E12)+G9</f>
        <v>1</v>
      </c>
      <c r="H13" s="111">
        <f>(G8*F12)+G9</f>
        <v>4</v>
      </c>
      <c r="I13" s="105" t="s">
        <v>2</v>
      </c>
      <c r="J13" s="5"/>
      <c r="K13" s="5"/>
      <c r="L13" s="5"/>
      <c r="M13" s="5"/>
      <c r="N13" s="5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>
        <v>-1</v>
      </c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207"/>
    </row>
    <row r="14" spans="1:37" ht="21" customHeight="1">
      <c r="A14" s="214" t="s">
        <v>136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>
        <v>-2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5"/>
    </row>
    <row r="15" spans="1:37" ht="19.350000000000001" customHeight="1">
      <c r="A15" s="5"/>
      <c r="B15" s="5"/>
      <c r="C15" s="5"/>
      <c r="D15" s="7"/>
      <c r="E15" s="7"/>
      <c r="F15" s="5"/>
      <c r="G15" s="5"/>
      <c r="H15" s="5"/>
      <c r="I15" s="5"/>
      <c r="J15" s="5"/>
      <c r="K15" s="5"/>
      <c r="L15" s="5"/>
      <c r="M15" s="5"/>
      <c r="N15" s="5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>
        <v>-3</v>
      </c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5"/>
    </row>
    <row r="16" spans="1:37" ht="19.350000000000001" customHeight="1">
      <c r="A16" s="5"/>
      <c r="B16" s="5"/>
      <c r="C16" s="5"/>
      <c r="D16" s="5"/>
      <c r="E16" s="7"/>
      <c r="F16" s="5"/>
      <c r="G16" s="5"/>
      <c r="H16" s="5"/>
      <c r="I16" s="5"/>
      <c r="J16" s="5"/>
      <c r="K16" s="5"/>
      <c r="L16" s="5"/>
      <c r="M16" s="5"/>
      <c r="N16" s="5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>
        <v>-4</v>
      </c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5"/>
    </row>
    <row r="17" spans="1:37" ht="19.350000000000001" customHeight="1">
      <c r="A17" s="5"/>
      <c r="B17" s="5"/>
      <c r="C17" s="5"/>
      <c r="D17" s="5"/>
      <c r="E17" s="7"/>
      <c r="F17" s="5"/>
      <c r="G17" s="5"/>
      <c r="H17" s="5"/>
      <c r="I17" s="5"/>
      <c r="J17" s="5"/>
      <c r="K17" s="5"/>
      <c r="L17" s="5"/>
      <c r="M17" s="5"/>
      <c r="N17" s="5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-5</v>
      </c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5"/>
    </row>
    <row r="18" spans="1:37" ht="19.350000000000001" customHeight="1">
      <c r="A18" s="5"/>
      <c r="B18" s="5"/>
      <c r="C18" s="5"/>
      <c r="D18" s="5"/>
      <c r="E18" s="7"/>
      <c r="F18" s="5"/>
      <c r="G18" s="5"/>
      <c r="H18" s="5"/>
      <c r="I18" s="5"/>
      <c r="J18" s="5"/>
      <c r="K18" s="5"/>
      <c r="L18" s="5"/>
      <c r="M18" s="5"/>
      <c r="N18" s="5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>
        <v>-6</v>
      </c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5"/>
    </row>
    <row r="19" spans="1:37" ht="19.350000000000001" customHeight="1">
      <c r="A19" s="5"/>
      <c r="B19" s="5"/>
      <c r="C19" s="5"/>
      <c r="D19" s="5"/>
      <c r="E19" s="7"/>
      <c r="F19" s="5"/>
      <c r="G19" s="5"/>
      <c r="H19" s="5"/>
      <c r="I19" s="5"/>
      <c r="J19" s="5"/>
      <c r="K19" s="5"/>
      <c r="L19" s="5"/>
      <c r="M19" s="5"/>
      <c r="N19" s="5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>
        <v>-7</v>
      </c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5"/>
    </row>
    <row r="20" spans="1:37" ht="19.350000000000001" customHeight="1">
      <c r="A20" s="5"/>
      <c r="B20" s="5"/>
      <c r="C20" s="5"/>
      <c r="D20" s="5"/>
      <c r="E20" s="7"/>
      <c r="F20" s="5"/>
      <c r="G20" s="5"/>
      <c r="H20" s="5"/>
      <c r="I20" s="5"/>
      <c r="J20" s="5"/>
      <c r="K20" s="5"/>
      <c r="L20" s="5"/>
      <c r="M20" s="5"/>
      <c r="N20" s="5"/>
      <c r="O20" s="83"/>
      <c r="P20" s="86" t="s">
        <v>129</v>
      </c>
      <c r="Q20" s="83"/>
      <c r="R20" s="83"/>
      <c r="S20" s="83"/>
      <c r="T20" s="83"/>
      <c r="U20" s="83"/>
      <c r="V20" s="83"/>
      <c r="W20" s="83"/>
      <c r="X20" s="83"/>
      <c r="Y20" s="83">
        <v>-8</v>
      </c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5"/>
    </row>
    <row r="21" spans="1:37" ht="19.350000000000001" customHeight="1">
      <c r="A21" s="5"/>
      <c r="B21" s="5"/>
      <c r="C21" s="5"/>
      <c r="D21" s="7"/>
      <c r="E21" s="7"/>
      <c r="F21" s="5"/>
      <c r="G21" s="5"/>
      <c r="H21" s="5"/>
      <c r="I21" s="5"/>
      <c r="J21" s="5"/>
      <c r="K21" s="5"/>
      <c r="L21" s="5"/>
      <c r="M21" s="5"/>
      <c r="N21" s="5"/>
      <c r="O21" s="83"/>
      <c r="P21" s="86" t="s">
        <v>125</v>
      </c>
      <c r="Q21" s="83"/>
      <c r="R21" s="83"/>
      <c r="S21" s="83"/>
      <c r="T21" s="83"/>
      <c r="U21" s="83"/>
      <c r="V21" s="83"/>
      <c r="W21" s="83"/>
      <c r="X21" s="83"/>
      <c r="Y21" s="83">
        <v>-9</v>
      </c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5"/>
    </row>
    <row r="22" spans="1:37" ht="19.350000000000001" customHeight="1">
      <c r="A22" s="5"/>
      <c r="B22" s="5"/>
      <c r="C22" s="5"/>
      <c r="D22" s="7"/>
      <c r="E22" s="7"/>
      <c r="F22" s="5"/>
      <c r="G22" s="5"/>
      <c r="H22" s="5"/>
      <c r="I22" s="5"/>
      <c r="J22" s="5"/>
      <c r="K22" s="5"/>
      <c r="L22" s="5"/>
      <c r="M22" s="5"/>
      <c r="N22" s="5"/>
      <c r="O22" s="87"/>
      <c r="P22" s="86" t="s">
        <v>126</v>
      </c>
      <c r="Q22" s="87"/>
      <c r="R22" s="87"/>
      <c r="S22" s="87"/>
      <c r="T22" s="87"/>
      <c r="U22" s="87"/>
      <c r="V22" s="87"/>
      <c r="W22" s="87"/>
      <c r="X22" s="83"/>
      <c r="Y22" s="83">
        <v>-10</v>
      </c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5"/>
    </row>
    <row r="23" spans="1:37">
      <c r="A23" s="5"/>
      <c r="B23" s="5"/>
      <c r="C23" s="5"/>
      <c r="D23" s="7"/>
      <c r="E23" s="7"/>
      <c r="F23" s="5"/>
      <c r="G23" s="5"/>
      <c r="H23" s="5"/>
      <c r="I23" s="5"/>
      <c r="J23" s="5"/>
      <c r="K23" s="5"/>
      <c r="L23" s="5"/>
      <c r="M23" s="5"/>
      <c r="N23" s="5"/>
      <c r="O23" s="11"/>
      <c r="P23" s="11"/>
      <c r="Q23" s="11"/>
      <c r="R23" s="11"/>
      <c r="S23" s="11"/>
      <c r="T23" s="11"/>
      <c r="U23" s="11"/>
      <c r="V23" s="11"/>
      <c r="W23" s="11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>
      <c r="A24" s="5"/>
      <c r="B24" s="5"/>
      <c r="C24" s="5"/>
      <c r="D24" s="7"/>
      <c r="E24" s="7"/>
      <c r="F24" s="5"/>
      <c r="G24" s="5"/>
      <c r="H24" s="5"/>
      <c r="I24" s="5"/>
      <c r="J24" s="5"/>
      <c r="K24" s="5"/>
      <c r="L24" s="5"/>
      <c r="M24" s="5"/>
      <c r="N24" s="5"/>
      <c r="O24" s="196" t="s">
        <v>171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5"/>
    </row>
    <row r="25" spans="1:37">
      <c r="A25" s="5"/>
      <c r="B25" s="5"/>
      <c r="C25" s="5"/>
      <c r="D25" s="7"/>
      <c r="E25" s="7"/>
      <c r="F25" s="5"/>
      <c r="G25" s="5"/>
      <c r="H25" s="5"/>
      <c r="I25" s="5"/>
      <c r="J25" s="5"/>
      <c r="K25" s="5"/>
      <c r="L25" s="5"/>
      <c r="M25" s="5"/>
      <c r="N25" s="5"/>
      <c r="O25" s="11"/>
      <c r="P25" s="11"/>
      <c r="Q25" s="11"/>
      <c r="R25" s="11"/>
      <c r="S25" s="11"/>
      <c r="T25" s="11"/>
      <c r="U25" s="11"/>
      <c r="V25" s="11"/>
      <c r="W25" s="11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1"/>
      <c r="P26" s="11"/>
      <c r="Q26" s="11"/>
      <c r="R26" s="11"/>
      <c r="S26" s="11"/>
      <c r="T26" s="11"/>
      <c r="U26" s="11"/>
      <c r="V26" s="11"/>
      <c r="W26" s="11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1"/>
      <c r="P27" s="11"/>
      <c r="Q27" s="11"/>
      <c r="R27" s="11"/>
      <c r="S27" s="11"/>
      <c r="T27" s="11"/>
      <c r="U27" s="11"/>
      <c r="V27" s="11"/>
      <c r="W27" s="11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40" t="s">
        <v>84</v>
      </c>
      <c r="S32" s="140"/>
      <c r="T32" s="140"/>
      <c r="U32" s="140"/>
      <c r="V32" s="140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>
      <c r="A33" s="113" t="s">
        <v>172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41" t="s">
        <v>85</v>
      </c>
      <c r="S33" s="141"/>
      <c r="T33" s="141"/>
      <c r="U33" s="141"/>
      <c r="V33" s="141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>
      <c r="A34" s="113" t="s">
        <v>143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ht="18.7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36" t="s">
        <v>170</v>
      </c>
      <c r="S35" s="136"/>
      <c r="T35" s="136"/>
      <c r="U35" s="136"/>
      <c r="V35" s="174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>
      <c r="A36" s="114">
        <v>1</v>
      </c>
      <c r="B36" s="5" t="s">
        <v>144</v>
      </c>
      <c r="C36" s="5" t="s">
        <v>148</v>
      </c>
      <c r="D36" s="9" t="str">
        <f>+'Pos m Pos b'!F9</f>
        <v>Select Pos m Pos b</v>
      </c>
      <c r="E36" s="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>
      <c r="A37" s="108">
        <v>2</v>
      </c>
      <c r="B37" s="5" t="s">
        <v>145</v>
      </c>
      <c r="C37" s="5" t="s">
        <v>148</v>
      </c>
      <c r="D37" s="9" t="str">
        <f>+'Pos m Neg b'!F9</f>
        <v>Select Pos m Neg b</v>
      </c>
      <c r="E37" s="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>
      <c r="A38" s="108">
        <v>3</v>
      </c>
      <c r="B38" s="5" t="s">
        <v>146</v>
      </c>
      <c r="C38" s="5" t="s">
        <v>148</v>
      </c>
      <c r="D38" s="9" t="str">
        <f>+'Neg m Pos b'!F9</f>
        <v>Select Neg m Pos b</v>
      </c>
      <c r="E38" s="9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>
      <c r="A39" s="108">
        <v>4</v>
      </c>
      <c r="B39" s="5" t="s">
        <v>147</v>
      </c>
      <c r="C39" s="5" t="s">
        <v>148</v>
      </c>
      <c r="D39" s="9" t="str">
        <f>+'Neg m Neg b'!F9</f>
        <v>Select Neg m Neg b</v>
      </c>
      <c r="E39" s="9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>
      <c r="A41" s="113" t="s">
        <v>175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>
      <c r="A43" s="9" t="s">
        <v>149</v>
      </c>
      <c r="B43" s="5"/>
      <c r="C43" s="9"/>
      <c r="D43" s="81">
        <f>+G8</f>
        <v>3.0303030303030303</v>
      </c>
      <c r="E43" s="90" t="str">
        <f>IF(D43&gt;0,"Select Pos m Pos b or Pos b Neg b",IF(D43&lt;0,"Select Neg m Pos b or Neg m Neg b","Try again"))</f>
        <v>Select Pos m Pos b or Pos b Neg b</v>
      </c>
      <c r="F43" s="9"/>
      <c r="G43" s="5"/>
      <c r="H43" s="5" t="s">
        <v>150</v>
      </c>
      <c r="I43" s="89"/>
      <c r="J43" s="89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>
      <c r="A45" s="115" t="s">
        <v>156</v>
      </c>
      <c r="B45" s="5"/>
      <c r="C45" s="5"/>
      <c r="D45" s="5"/>
      <c r="E45" s="5"/>
      <c r="F45" s="5"/>
      <c r="G45" s="5"/>
      <c r="H45" s="91"/>
      <c r="I45" s="89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>
      <c r="A46" s="11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37">
      <c r="A47" s="5"/>
      <c r="B47" s="5" t="s">
        <v>152</v>
      </c>
      <c r="C47" s="5" t="s">
        <v>154</v>
      </c>
      <c r="D47" s="28">
        <f>D48-(D43*D49)</f>
        <v>0.96969696969696972</v>
      </c>
      <c r="E47" s="213" t="str">
        <f>IF(AND(D47&gt;0,D43&gt;0),"Select Pos m Pos b",IF(AND(D47&gt;0,D43&lt;0),"Select Neg m Pos b",IF(AND(D47&lt;0,D43&gt;0),"Select Pos m Neg b",IF(AND(D47&lt;0,D43&lt;0),"Select Neg m Neg b","Try again"))))</f>
        <v>Select Pos m Pos b</v>
      </c>
      <c r="F47" s="213"/>
      <c r="G47" s="5"/>
      <c r="H47" s="5" t="s">
        <v>155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>
      <c r="A48" s="5"/>
      <c r="B48" s="108" t="s">
        <v>151</v>
      </c>
      <c r="C48" s="7" t="str">
        <f>+D11</f>
        <v>Vout(max)</v>
      </c>
      <c r="D48" s="7">
        <f>+D12</f>
        <v>4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>
      <c r="A49" s="5"/>
      <c r="B49" s="108" t="s">
        <v>153</v>
      </c>
      <c r="C49" s="5" t="str">
        <f>+F11</f>
        <v>Vin(max)</v>
      </c>
      <c r="D49" s="7">
        <f>+F12</f>
        <v>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37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7">
      <c r="A50" s="5"/>
      <c r="B50" s="5"/>
      <c r="C50" s="5"/>
      <c r="D50" s="5"/>
      <c r="E50" s="5"/>
      <c r="F50" s="89"/>
      <c r="G50" s="8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37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7">
      <c r="A51" s="5" t="s">
        <v>157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37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7">
      <c r="A52" s="5" t="s">
        <v>158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37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>
      <c r="A53" s="5" t="s">
        <v>159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37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ht="15.75">
      <c r="A54" s="5" t="s">
        <v>176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122" t="str">
        <f>+E47</f>
        <v>Select Pos m Pos b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37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15.75">
      <c r="A55" s="5" t="s">
        <v>169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109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37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37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5.75">
      <c r="A57" s="178" t="s">
        <v>168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5"/>
      <c r="M57" s="37"/>
      <c r="N57" s="219" t="s">
        <v>173</v>
      </c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5"/>
    </row>
    <row r="58" spans="1:37">
      <c r="A58" s="16" t="str">
        <f>+'Pos m Pos b'!A27</f>
        <v>Vout = (m * Vin) + b</v>
      </c>
      <c r="B58" s="5"/>
      <c r="C58" s="5"/>
      <c r="D58" s="5"/>
      <c r="E58" s="5"/>
      <c r="F58" s="5"/>
      <c r="G58" s="5"/>
      <c r="H58" s="5"/>
      <c r="I58" s="5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5"/>
    </row>
    <row r="59" spans="1:37" ht="15.75">
      <c r="A59" s="204" t="s">
        <v>57</v>
      </c>
      <c r="B59" s="205"/>
      <c r="C59" s="206"/>
      <c r="D59" s="5"/>
      <c r="E59" s="5"/>
      <c r="F59" s="5"/>
      <c r="G59" s="5"/>
      <c r="H59" s="5"/>
      <c r="I59" s="5"/>
      <c r="J59" s="5"/>
      <c r="K59" s="5"/>
      <c r="L59" s="5"/>
      <c r="M59" s="37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37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1:37">
      <c r="A60" s="201" t="s">
        <v>72</v>
      </c>
      <c r="B60" s="202"/>
      <c r="C60" s="203"/>
      <c r="D60" s="5"/>
      <c r="E60" s="5"/>
      <c r="F60" s="5"/>
      <c r="G60" s="5"/>
      <c r="H60" s="5"/>
      <c r="I60" s="5"/>
      <c r="J60" s="5"/>
      <c r="K60" s="5"/>
      <c r="L60" s="5"/>
      <c r="M60" s="37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37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7">
      <c r="A61" s="92" t="s">
        <v>70</v>
      </c>
      <c r="B61" s="93">
        <f>+'Pos m Pos b'!T3</f>
        <v>6</v>
      </c>
      <c r="C61" s="94" t="s">
        <v>2</v>
      </c>
      <c r="D61" s="5"/>
      <c r="E61" s="5"/>
      <c r="F61" s="5"/>
      <c r="G61" s="5"/>
      <c r="H61" s="5"/>
      <c r="I61" s="5"/>
      <c r="J61" s="5"/>
      <c r="K61" s="5"/>
      <c r="L61" s="5"/>
      <c r="M61" s="37"/>
      <c r="N61" s="5"/>
      <c r="O61" s="5"/>
      <c r="P61" s="5"/>
      <c r="Q61" s="5"/>
      <c r="R61" s="5"/>
      <c r="S61" s="5"/>
      <c r="T61" s="5"/>
      <c r="U61" s="5"/>
      <c r="V61" s="178" t="str">
        <f>+'Pos m Pos b'!B13</f>
        <v>R1 =</v>
      </c>
      <c r="W61" s="178"/>
      <c r="X61" s="218">
        <f>+'Pos m Pos b'!F13</f>
        <v>10</v>
      </c>
      <c r="Y61" s="218"/>
      <c r="Z61" s="121" t="str">
        <f>+'Pos m Pos b'!G13</f>
        <v>kΩ</v>
      </c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7" ht="15.75">
      <c r="A62" s="95" t="s">
        <v>1</v>
      </c>
      <c r="B62" s="93">
        <f>+'Pos m Pos b'!T4</f>
        <v>6</v>
      </c>
      <c r="C62" s="94" t="s">
        <v>2</v>
      </c>
      <c r="D62" s="5"/>
      <c r="E62" s="5"/>
      <c r="F62" s="5"/>
      <c r="G62" s="5"/>
      <c r="H62" s="5"/>
      <c r="I62" s="5"/>
      <c r="J62" s="200" t="s">
        <v>167</v>
      </c>
      <c r="K62" s="200"/>
      <c r="L62" s="5"/>
      <c r="M62" s="37"/>
      <c r="N62" s="5"/>
      <c r="O62" s="5"/>
      <c r="P62" s="5"/>
      <c r="Q62" s="5"/>
      <c r="R62" s="5"/>
      <c r="S62" s="5"/>
      <c r="T62" s="5"/>
      <c r="U62" s="5"/>
      <c r="V62" s="178" t="str">
        <f>+'Pos m Pos b'!B14</f>
        <v>Rf =</v>
      </c>
      <c r="W62" s="178"/>
      <c r="X62" s="218">
        <f>+'Pos m Pos b'!F14</f>
        <v>27</v>
      </c>
      <c r="Y62" s="218"/>
      <c r="Z62" s="121" t="str">
        <f>+'Pos m Pos b'!G14</f>
        <v>kΩ</v>
      </c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ht="15.75">
      <c r="A63" s="95" t="s">
        <v>4</v>
      </c>
      <c r="B63" s="97">
        <f>+'Pos m Pos b'!T5</f>
        <v>4</v>
      </c>
      <c r="C63" s="94" t="s">
        <v>2</v>
      </c>
      <c r="D63" s="5"/>
      <c r="E63" s="5"/>
      <c r="F63" s="5"/>
      <c r="G63" s="5"/>
      <c r="H63" s="5"/>
      <c r="I63" s="5"/>
      <c r="J63" s="5"/>
      <c r="K63" s="5"/>
      <c r="L63" s="5"/>
      <c r="M63" s="37"/>
      <c r="N63" s="5"/>
      <c r="O63" s="5"/>
      <c r="P63" s="5"/>
      <c r="Q63" s="5"/>
      <c r="R63" s="5"/>
      <c r="S63" s="5"/>
      <c r="T63" s="5"/>
      <c r="U63" s="5"/>
      <c r="V63" s="178" t="str">
        <f>+'Pos m Pos b'!B15</f>
        <v>R2 =</v>
      </c>
      <c r="W63" s="178"/>
      <c r="X63" s="218">
        <f>+'Pos m Pos b'!F15</f>
        <v>187</v>
      </c>
      <c r="Y63" s="218"/>
      <c r="Z63" s="121" t="str">
        <f>+'Pos m Pos b'!G15</f>
        <v>kΩ</v>
      </c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7" ht="15.75">
      <c r="A64" s="95" t="s">
        <v>6</v>
      </c>
      <c r="B64" s="98">
        <f>+'Pos m Pos b'!T6</f>
        <v>1</v>
      </c>
      <c r="C64" s="94" t="s">
        <v>2</v>
      </c>
      <c r="D64" s="5"/>
      <c r="E64" s="5"/>
      <c r="F64" s="5"/>
      <c r="G64" s="5"/>
      <c r="H64" s="5"/>
      <c r="I64" s="5"/>
      <c r="J64" s="5"/>
      <c r="K64" s="5"/>
      <c r="L64" s="5"/>
      <c r="M64" s="37"/>
      <c r="N64" s="5"/>
      <c r="O64" s="5"/>
      <c r="P64" s="5"/>
      <c r="Q64" s="5"/>
      <c r="R64" s="5"/>
      <c r="S64" s="5"/>
      <c r="T64" s="5"/>
      <c r="U64" s="5"/>
      <c r="V64" s="178" t="str">
        <f>+'Pos m Pos b'!B16</f>
        <v>Rg =</v>
      </c>
      <c r="W64" s="178"/>
      <c r="X64" s="218">
        <f>+'Pos m Pos b'!F16</f>
        <v>12.4</v>
      </c>
      <c r="Y64" s="218"/>
      <c r="Z64" s="121" t="str">
        <f>+'Pos m Pos b'!G16</f>
        <v>kΩ</v>
      </c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1:37" ht="15.75">
      <c r="A65" s="95" t="s">
        <v>8</v>
      </c>
      <c r="B65" s="99">
        <f>+'Pos m Pos b'!T7</f>
        <v>1</v>
      </c>
      <c r="C65" s="94" t="s">
        <v>2</v>
      </c>
      <c r="D65" s="5"/>
      <c r="E65" s="5"/>
      <c r="F65" s="5"/>
      <c r="G65" s="5"/>
      <c r="H65" s="5"/>
      <c r="I65" s="5"/>
      <c r="J65" s="5"/>
      <c r="K65" s="5"/>
      <c r="L65" s="5"/>
      <c r="M65" s="37"/>
      <c r="N65" s="5"/>
      <c r="O65" s="5"/>
      <c r="P65" s="5"/>
      <c r="Q65" s="5"/>
      <c r="R65" s="5"/>
      <c r="S65" s="5"/>
      <c r="T65" s="5"/>
      <c r="U65" s="5"/>
      <c r="V65" s="178" t="str">
        <f>+'Pos m Pos b'!B23</f>
        <v>fo =</v>
      </c>
      <c r="W65" s="178"/>
      <c r="X65" s="220">
        <f>+'Pos m Pos b'!E23</f>
        <v>33.862753849339434</v>
      </c>
      <c r="Y65" s="220"/>
      <c r="Z65" s="5" t="str">
        <f>+'Pos m Pos b'!F23</f>
        <v>kHz</v>
      </c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ht="15.75">
      <c r="A66" s="66" t="s">
        <v>10</v>
      </c>
      <c r="B66" s="100">
        <f>+'Pos m Pos b'!T8</f>
        <v>0.01</v>
      </c>
      <c r="C66" s="68" t="s">
        <v>2</v>
      </c>
      <c r="D66" s="5"/>
      <c r="E66" s="5"/>
      <c r="F66" s="5"/>
      <c r="G66" s="5"/>
      <c r="H66" s="5"/>
      <c r="I66" s="5"/>
      <c r="J66" s="5"/>
      <c r="K66" s="5"/>
      <c r="L66" s="5"/>
      <c r="M66" s="37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37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 ht="18" customHeight="1">
      <c r="A67" s="16" t="str">
        <f>+'Pos m Neg b'!A31</f>
        <v>Vout = (m * Vin) - b</v>
      </c>
      <c r="B67" s="5"/>
      <c r="C67" s="5"/>
      <c r="D67" s="5"/>
      <c r="E67" s="5"/>
      <c r="F67" s="5"/>
      <c r="G67" s="5"/>
      <c r="H67" s="5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5.75">
      <c r="A68" s="204" t="s">
        <v>58</v>
      </c>
      <c r="B68" s="205"/>
      <c r="C68" s="206"/>
      <c r="D68" s="5"/>
      <c r="E68" s="5"/>
      <c r="F68" s="5"/>
      <c r="G68" s="5"/>
      <c r="H68" s="5"/>
      <c r="I68" s="5"/>
      <c r="J68" s="5"/>
      <c r="K68" s="5"/>
      <c r="L68" s="5"/>
      <c r="M68" s="37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37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>
      <c r="A69" s="201" t="s">
        <v>72</v>
      </c>
      <c r="B69" s="202"/>
      <c r="C69" s="203"/>
      <c r="D69" s="5"/>
      <c r="E69" s="5"/>
      <c r="F69" s="5"/>
      <c r="G69" s="5"/>
      <c r="H69" s="5"/>
      <c r="I69" s="5"/>
      <c r="J69" s="5"/>
      <c r="K69" s="5"/>
      <c r="L69" s="5"/>
      <c r="M69" s="37"/>
      <c r="N69" s="5"/>
      <c r="O69" s="5"/>
      <c r="P69" s="5"/>
      <c r="Q69" s="5"/>
      <c r="R69" s="5"/>
      <c r="S69" s="5"/>
      <c r="T69" s="5"/>
      <c r="U69" s="5"/>
      <c r="V69" s="178" t="str">
        <f>+'Pos m Neg b'!B13</f>
        <v>Rf =</v>
      </c>
      <c r="W69" s="178"/>
      <c r="X69" s="218">
        <f>+'Pos m Neg b'!F13</f>
        <v>180</v>
      </c>
      <c r="Y69" s="218"/>
      <c r="Z69" s="5" t="str">
        <f>+'Pos m Neg b'!G13</f>
        <v>kΩ</v>
      </c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>
      <c r="A70" s="92" t="s">
        <v>70</v>
      </c>
      <c r="B70" s="93">
        <f>+'Pos m Neg b'!T3</f>
        <v>10</v>
      </c>
      <c r="C70" s="94" t="s">
        <v>2</v>
      </c>
      <c r="D70" s="5">
        <f>+C122</f>
        <v>0</v>
      </c>
      <c r="E70" s="5">
        <f>+C121</f>
        <v>0</v>
      </c>
      <c r="F70" s="5">
        <f>+C124</f>
        <v>0</v>
      </c>
      <c r="G70" s="5">
        <f>+C123</f>
        <v>0</v>
      </c>
      <c r="H70" s="5"/>
      <c r="I70" s="5"/>
      <c r="J70" s="5"/>
      <c r="K70" s="5"/>
      <c r="L70" s="5"/>
      <c r="M70" s="37"/>
      <c r="N70" s="5"/>
      <c r="O70" s="5"/>
      <c r="P70" s="5"/>
      <c r="Q70" s="5"/>
      <c r="R70" s="5"/>
      <c r="S70" s="5"/>
      <c r="T70" s="5"/>
      <c r="U70" s="5"/>
      <c r="V70" s="178" t="str">
        <f>+'Pos m Neg b'!B14</f>
        <v>Ro =</v>
      </c>
      <c r="W70" s="178"/>
      <c r="X70" s="218">
        <f>+'Pos m Neg b'!F14</f>
        <v>20</v>
      </c>
      <c r="Y70" s="218"/>
      <c r="Z70" s="5" t="str">
        <f>+'Pos m Neg b'!G14</f>
        <v>kΩ</v>
      </c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ht="15.75">
      <c r="A71" s="95" t="s">
        <v>1</v>
      </c>
      <c r="B71" s="93">
        <f>+'Pos m Neg b'!T4</f>
        <v>10</v>
      </c>
      <c r="C71" s="94" t="s">
        <v>2</v>
      </c>
      <c r="D71" s="5"/>
      <c r="E71" s="5">
        <f>+D123</f>
        <v>0</v>
      </c>
      <c r="F71" s="5">
        <f>+D122</f>
        <v>0</v>
      </c>
      <c r="G71" s="5">
        <f>+D125</f>
        <v>0</v>
      </c>
      <c r="H71" s="5">
        <f>+D124</f>
        <v>0</v>
      </c>
      <c r="I71" s="5"/>
      <c r="J71" s="200" t="s">
        <v>167</v>
      </c>
      <c r="K71" s="200"/>
      <c r="L71" s="5"/>
      <c r="M71" s="37"/>
      <c r="N71" s="5"/>
      <c r="O71" s="5"/>
      <c r="P71" s="5"/>
      <c r="Q71" s="5"/>
      <c r="R71" s="5"/>
      <c r="S71" s="5"/>
      <c r="T71" s="5"/>
      <c r="U71" s="5"/>
      <c r="V71" s="178" t="str">
        <f>+'Pos m Neg b'!B19</f>
        <v>R1 =</v>
      </c>
      <c r="W71" s="178"/>
      <c r="X71" s="218">
        <f>+'Pos m Neg b'!F19</f>
        <v>432</v>
      </c>
      <c r="Y71" s="218"/>
      <c r="Z71" s="5" t="str">
        <f>+'Pos m Neg b'!G19</f>
        <v>kΩ</v>
      </c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 ht="15.75">
      <c r="A72" s="95" t="s">
        <v>4</v>
      </c>
      <c r="B72" s="97">
        <f>+'Pos m Neg b'!T5</f>
        <v>4.5</v>
      </c>
      <c r="C72" s="94" t="s">
        <v>2</v>
      </c>
      <c r="D72" s="5"/>
      <c r="E72" s="5"/>
      <c r="F72" s="5"/>
      <c r="G72" s="5"/>
      <c r="H72" s="5"/>
      <c r="I72" s="5"/>
      <c r="J72" s="5"/>
      <c r="K72" s="5"/>
      <c r="L72" s="5"/>
      <c r="M72" s="37"/>
      <c r="N72" s="5"/>
      <c r="O72" s="5"/>
      <c r="P72" s="5"/>
      <c r="Q72" s="5"/>
      <c r="R72" s="5"/>
      <c r="S72" s="5"/>
      <c r="T72" s="5"/>
      <c r="U72" s="5"/>
      <c r="V72" s="178" t="str">
        <f>+'Pos m Neg b'!B16</f>
        <v>Rg2 =</v>
      </c>
      <c r="W72" s="178"/>
      <c r="X72" s="218">
        <f>+'Pos m Neg b'!F16</f>
        <v>2</v>
      </c>
      <c r="Y72" s="218"/>
      <c r="Z72" s="5" t="str">
        <f>+'Pos m Neg b'!G16</f>
        <v>kΩ</v>
      </c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 ht="15.75">
      <c r="A73" s="95" t="s">
        <v>6</v>
      </c>
      <c r="B73" s="98">
        <f>+'Pos m Neg b'!T6</f>
        <v>1.5</v>
      </c>
      <c r="C73" s="94" t="s">
        <v>2</v>
      </c>
      <c r="D73" s="5"/>
      <c r="E73" s="5"/>
      <c r="F73" s="5"/>
      <c r="G73" s="5"/>
      <c r="H73" s="5"/>
      <c r="I73" s="5"/>
      <c r="J73" s="5"/>
      <c r="K73" s="5"/>
      <c r="L73" s="5"/>
      <c r="M73" s="37"/>
      <c r="N73" s="5"/>
      <c r="O73" s="5"/>
      <c r="P73" s="5"/>
      <c r="Q73" s="5"/>
      <c r="R73" s="5"/>
      <c r="S73" s="5"/>
      <c r="T73" s="5"/>
      <c r="U73" s="5"/>
      <c r="V73" s="178" t="str">
        <f>+'Pos m Neg b'!B17</f>
        <v>Rg1 =</v>
      </c>
      <c r="W73" s="178"/>
      <c r="X73" s="218">
        <f>+'Pos m Neg b'!F17</f>
        <v>18</v>
      </c>
      <c r="Y73" s="218"/>
      <c r="Z73" s="5" t="str">
        <f>+'Pos m Neg b'!G17</f>
        <v>kΩ</v>
      </c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ht="15.75">
      <c r="A74" s="95" t="s">
        <v>8</v>
      </c>
      <c r="B74" s="99">
        <f>+'Pos m Neg b'!T7</f>
        <v>0.5</v>
      </c>
      <c r="C74" s="94" t="s">
        <v>2</v>
      </c>
      <c r="D74" s="5"/>
      <c r="E74" s="5"/>
      <c r="F74" s="5"/>
      <c r="G74" s="5"/>
      <c r="H74" s="5"/>
      <c r="I74" s="5"/>
      <c r="J74" s="5"/>
      <c r="K74" s="5"/>
      <c r="L74" s="5"/>
      <c r="M74" s="37"/>
      <c r="N74" s="5"/>
      <c r="O74" s="5"/>
      <c r="P74" s="5"/>
      <c r="Q74" s="5"/>
      <c r="R74" s="5"/>
      <c r="S74" s="5"/>
      <c r="T74" s="5"/>
      <c r="U74" s="5"/>
      <c r="V74" s="178" t="str">
        <f>+'Pos m Neg b'!B27</f>
        <v>fo =</v>
      </c>
      <c r="W74" s="178"/>
      <c r="X74" s="220">
        <f>+'Pos m Neg b'!E27</f>
        <v>16.931376924669717</v>
      </c>
      <c r="Y74" s="220"/>
      <c r="Z74" s="5" t="str">
        <f>+'Pos m Neg b'!F27</f>
        <v>kHz</v>
      </c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 ht="15.75">
      <c r="A75" s="66" t="s">
        <v>10</v>
      </c>
      <c r="B75" s="100">
        <f>+'Pos m Neg b'!T8</f>
        <v>0.2</v>
      </c>
      <c r="C75" s="68" t="s">
        <v>2</v>
      </c>
      <c r="D75" s="5"/>
      <c r="E75" s="5"/>
      <c r="F75" s="5"/>
      <c r="G75" s="5"/>
      <c r="H75" s="5"/>
      <c r="I75" s="5"/>
      <c r="J75" s="5"/>
      <c r="K75" s="5"/>
      <c r="L75" s="5"/>
      <c r="M75" s="37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37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 ht="18" customHeight="1">
      <c r="A76" s="16" t="str">
        <f>+'Neg m Pos b'!A29</f>
        <v>Vout = -(m * Vin) + b</v>
      </c>
      <c r="B76" s="5"/>
      <c r="C76" s="5"/>
      <c r="D76" s="5"/>
      <c r="E76" s="5"/>
      <c r="F76" s="5"/>
      <c r="G76" s="5"/>
      <c r="H76" s="5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5.75">
      <c r="A77" s="204" t="s">
        <v>74</v>
      </c>
      <c r="B77" s="205"/>
      <c r="C77" s="206"/>
      <c r="D77" s="5"/>
      <c r="E77" s="5"/>
      <c r="F77" s="5"/>
      <c r="G77" s="5"/>
      <c r="H77" s="5"/>
      <c r="I77" s="5"/>
      <c r="J77" s="5"/>
      <c r="K77" s="5"/>
      <c r="L77" s="5"/>
      <c r="M77" s="37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37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1:37">
      <c r="A78" s="201" t="s">
        <v>72</v>
      </c>
      <c r="B78" s="202"/>
      <c r="C78" s="203"/>
      <c r="D78" s="5"/>
      <c r="E78" s="5"/>
      <c r="F78" s="5"/>
      <c r="G78" s="5"/>
      <c r="H78" s="5"/>
      <c r="I78" s="5"/>
      <c r="J78" s="5"/>
      <c r="K78" s="5"/>
      <c r="L78" s="5"/>
      <c r="M78" s="37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37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>
      <c r="A79" s="92" t="s">
        <v>70</v>
      </c>
      <c r="B79" s="93">
        <f>+'Neg m Pos b'!T3</f>
        <v>5</v>
      </c>
      <c r="C79" s="94" t="s">
        <v>2</v>
      </c>
      <c r="D79" s="5"/>
      <c r="E79" s="5"/>
      <c r="F79" s="5"/>
      <c r="G79" s="5"/>
      <c r="H79" s="5"/>
      <c r="I79" s="5"/>
      <c r="J79" s="5"/>
      <c r="K79" s="5"/>
      <c r="L79" s="5"/>
      <c r="M79" s="37"/>
      <c r="N79" s="5"/>
      <c r="O79" s="5"/>
      <c r="P79" s="5"/>
      <c r="Q79" s="5"/>
      <c r="R79" s="5"/>
      <c r="S79" s="5"/>
      <c r="T79" s="5"/>
      <c r="U79" s="5"/>
      <c r="V79" s="178" t="str">
        <f>+'Neg m Pos b'!B13</f>
        <v>Rf =</v>
      </c>
      <c r="W79" s="178"/>
      <c r="X79" s="218">
        <f>+'Neg m Pos b'!F13</f>
        <v>100</v>
      </c>
      <c r="Y79" s="218"/>
      <c r="Z79" s="5" t="str">
        <f>+'Neg m Pos b'!G13</f>
        <v>kΩ</v>
      </c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1:37" ht="15.75">
      <c r="A80" s="95" t="s">
        <v>1</v>
      </c>
      <c r="B80" s="93">
        <f>+'Neg m Pos b'!T4</f>
        <v>5</v>
      </c>
      <c r="C80" s="94" t="s">
        <v>2</v>
      </c>
      <c r="D80" s="5"/>
      <c r="E80" s="5"/>
      <c r="F80" s="5"/>
      <c r="G80" s="5"/>
      <c r="H80" s="5"/>
      <c r="I80" s="5"/>
      <c r="J80" s="200" t="s">
        <v>167</v>
      </c>
      <c r="K80" s="200"/>
      <c r="L80" s="5"/>
      <c r="M80" s="37"/>
      <c r="N80" s="5"/>
      <c r="O80" s="5"/>
      <c r="P80" s="5"/>
      <c r="Q80" s="5"/>
      <c r="R80" s="5"/>
      <c r="S80" s="5"/>
      <c r="T80" s="5"/>
      <c r="U80" s="5"/>
      <c r="V80" s="178" t="str">
        <f>+'Neg m Pos b'!B14</f>
        <v>R2 =</v>
      </c>
      <c r="W80" s="178"/>
      <c r="X80" s="218">
        <f>+'Neg m Pos b'!F14</f>
        <v>100</v>
      </c>
      <c r="Y80" s="218"/>
      <c r="Z80" s="5" t="str">
        <f>+'Neg m Pos b'!G14</f>
        <v>kΩ</v>
      </c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1:37" ht="15.75">
      <c r="A81" s="95" t="s">
        <v>4</v>
      </c>
      <c r="B81" s="97">
        <f>+'Neg m Pos b'!T5</f>
        <v>1</v>
      </c>
      <c r="C81" s="94" t="s">
        <v>2</v>
      </c>
      <c r="D81" s="5"/>
      <c r="E81" s="5"/>
      <c r="F81" s="5"/>
      <c r="G81" s="5"/>
      <c r="H81" s="5"/>
      <c r="I81" s="5"/>
      <c r="J81" s="5"/>
      <c r="K81" s="5"/>
      <c r="L81" s="5"/>
      <c r="M81" s="37"/>
      <c r="N81" s="5"/>
      <c r="O81" s="5"/>
      <c r="P81" s="5"/>
      <c r="Q81" s="5"/>
      <c r="R81" s="5"/>
      <c r="S81" s="5"/>
      <c r="T81" s="5"/>
      <c r="U81" s="5"/>
      <c r="V81" s="178" t="str">
        <f>+'Neg m Pos b'!B15</f>
        <v>Rg =</v>
      </c>
      <c r="W81" s="178"/>
      <c r="X81" s="218">
        <f>+'Neg m Pos b'!F15</f>
        <v>100</v>
      </c>
      <c r="Y81" s="218"/>
      <c r="Z81" s="5" t="str">
        <f>+'Neg m Pos b'!G15</f>
        <v>kΩ</v>
      </c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ht="15.75">
      <c r="A82" s="95" t="s">
        <v>6</v>
      </c>
      <c r="B82" s="98">
        <f>+'Neg m Pos b'!T6</f>
        <v>3.5</v>
      </c>
      <c r="C82" s="94" t="s">
        <v>2</v>
      </c>
      <c r="D82" s="5"/>
      <c r="E82" s="5"/>
      <c r="F82" s="5"/>
      <c r="G82" s="5"/>
      <c r="H82" s="5"/>
      <c r="I82" s="5"/>
      <c r="J82" s="5"/>
      <c r="K82" s="5"/>
      <c r="L82" s="5"/>
      <c r="M82" s="37"/>
      <c r="N82" s="5"/>
      <c r="O82" s="5"/>
      <c r="P82" s="5"/>
      <c r="Q82" s="5"/>
      <c r="R82" s="5"/>
      <c r="S82" s="5"/>
      <c r="T82" s="5"/>
      <c r="U82" s="5"/>
      <c r="V82" s="178" t="str">
        <f>+'Neg m Pos b'!B16</f>
        <v>R1 =</v>
      </c>
      <c r="W82" s="178"/>
      <c r="X82" s="218">
        <f>+'Neg m Pos b'!F16</f>
        <v>100</v>
      </c>
      <c r="Y82" s="218"/>
      <c r="Z82" s="5" t="str">
        <f>+'Neg m Pos b'!G16</f>
        <v>kΩ</v>
      </c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 ht="15.75">
      <c r="A83" s="95" t="s">
        <v>8</v>
      </c>
      <c r="B83" s="99">
        <f>+'Neg m Pos b'!T7</f>
        <v>4</v>
      </c>
      <c r="C83" s="94" t="s">
        <v>2</v>
      </c>
      <c r="D83" s="5"/>
      <c r="E83" s="5"/>
      <c r="F83" s="5"/>
      <c r="G83" s="5"/>
      <c r="H83" s="5"/>
      <c r="I83" s="5"/>
      <c r="J83" s="5"/>
      <c r="K83" s="5"/>
      <c r="L83" s="5"/>
      <c r="M83" s="37"/>
      <c r="N83" s="5"/>
      <c r="O83" s="5"/>
      <c r="P83" s="5"/>
      <c r="Q83" s="5"/>
      <c r="R83" s="5"/>
      <c r="S83" s="5"/>
      <c r="T83" s="5"/>
      <c r="U83" s="5"/>
      <c r="V83" s="178" t="str">
        <f>+'Neg m Pos b'!B24</f>
        <v>fo =</v>
      </c>
      <c r="W83" s="178"/>
      <c r="X83" s="220">
        <f>+'Neg m Pos b'!E24</f>
        <v>3.3862753849339442</v>
      </c>
      <c r="Y83" s="220"/>
      <c r="Z83" s="5" t="str">
        <f>+'Neg m Pos b'!F24</f>
        <v>kHz</v>
      </c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 ht="15.75">
      <c r="A84" s="66" t="s">
        <v>10</v>
      </c>
      <c r="B84" s="100">
        <f>+'Neg m Pos b'!T8</f>
        <v>1.5</v>
      </c>
      <c r="C84" s="68" t="s">
        <v>2</v>
      </c>
      <c r="D84" s="5"/>
      <c r="E84" s="5"/>
      <c r="F84" s="5"/>
      <c r="G84" s="5"/>
      <c r="H84" s="5"/>
      <c r="I84" s="5"/>
      <c r="J84" s="5"/>
      <c r="K84" s="5"/>
      <c r="L84" s="5"/>
      <c r="M84" s="37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37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ht="18" customHeight="1">
      <c r="A85" s="16" t="str">
        <f>+'Neg m Neg b'!A27</f>
        <v>Vout = -(m * Vin) - b</v>
      </c>
      <c r="B85" s="5"/>
      <c r="C85" s="5"/>
      <c r="D85" s="5"/>
      <c r="E85" s="5"/>
      <c r="F85" s="5"/>
      <c r="G85" s="5"/>
      <c r="H85" s="5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5.75">
      <c r="A86" s="204" t="s">
        <v>60</v>
      </c>
      <c r="B86" s="205"/>
      <c r="C86" s="206"/>
      <c r="D86" s="5"/>
      <c r="E86" s="5"/>
      <c r="F86" s="5"/>
      <c r="G86" s="5"/>
      <c r="H86" s="5"/>
      <c r="I86" s="5"/>
      <c r="J86" s="5"/>
      <c r="K86" s="5"/>
      <c r="L86" s="5"/>
      <c r="M86" s="37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37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1:37">
      <c r="A87" s="180" t="s">
        <v>72</v>
      </c>
      <c r="B87" s="181"/>
      <c r="C87" s="182"/>
      <c r="D87" s="5"/>
      <c r="E87" s="5"/>
      <c r="F87" s="5"/>
      <c r="G87" s="5"/>
      <c r="H87" s="5"/>
      <c r="I87" s="5"/>
      <c r="J87" s="5"/>
      <c r="K87" s="5"/>
      <c r="L87" s="5"/>
      <c r="M87" s="37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37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>
      <c r="A88" s="92" t="s">
        <v>70</v>
      </c>
      <c r="B88" s="93">
        <f>+'Neg m Neg b'!T3</f>
        <v>8</v>
      </c>
      <c r="C88" s="94" t="s">
        <v>2</v>
      </c>
      <c r="D88" s="5"/>
      <c r="E88" s="5"/>
      <c r="F88" s="5"/>
      <c r="G88" s="5"/>
      <c r="H88" s="5"/>
      <c r="I88" s="5"/>
      <c r="J88" s="5"/>
      <c r="K88" s="5"/>
      <c r="L88" s="5"/>
      <c r="M88" s="37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37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ht="15.75">
      <c r="A89" s="95" t="s">
        <v>1</v>
      </c>
      <c r="B89" s="93">
        <f>+'Neg m Neg b'!T4</f>
        <v>8</v>
      </c>
      <c r="C89" s="94" t="s">
        <v>2</v>
      </c>
      <c r="D89" s="5"/>
      <c r="E89" s="5"/>
      <c r="F89" s="5"/>
      <c r="G89" s="5"/>
      <c r="H89" s="5"/>
      <c r="I89" s="5"/>
      <c r="J89" s="200" t="s">
        <v>167</v>
      </c>
      <c r="K89" s="200"/>
      <c r="L89" s="5"/>
      <c r="M89" s="37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37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ht="15.75">
      <c r="A90" s="95" t="s">
        <v>4</v>
      </c>
      <c r="B90" s="97">
        <f>+'Neg m Neg b'!T5</f>
        <v>1</v>
      </c>
      <c r="C90" s="101" t="s">
        <v>2</v>
      </c>
      <c r="D90" s="5"/>
      <c r="E90" s="5"/>
      <c r="F90" s="5"/>
      <c r="G90" s="5"/>
      <c r="H90" s="5"/>
      <c r="I90" s="5"/>
      <c r="J90" s="5"/>
      <c r="K90" s="5"/>
      <c r="L90" s="5"/>
      <c r="M90" s="37"/>
      <c r="N90" s="5"/>
      <c r="O90" s="5"/>
      <c r="P90" s="5"/>
      <c r="Q90" s="5"/>
      <c r="R90" s="5"/>
      <c r="S90" s="5"/>
      <c r="T90" s="5"/>
      <c r="U90" s="5"/>
      <c r="V90" s="178" t="str">
        <f>+'Neg m Neg b'!B13</f>
        <v>Rf =</v>
      </c>
      <c r="W90" s="178"/>
      <c r="X90" s="218">
        <f>+'Neg m Neg b'!F13</f>
        <v>20</v>
      </c>
      <c r="Y90" s="218"/>
      <c r="Z90" s="5" t="str">
        <f>+'Neg m Neg b'!G13</f>
        <v>kΩ</v>
      </c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ht="15.75">
      <c r="A91" s="95" t="s">
        <v>6</v>
      </c>
      <c r="B91" s="98">
        <f>+'Neg m Neg b'!T6</f>
        <v>5</v>
      </c>
      <c r="C91" s="101" t="s">
        <v>2</v>
      </c>
      <c r="D91" s="5"/>
      <c r="E91" s="5"/>
      <c r="F91" s="5"/>
      <c r="G91" s="5"/>
      <c r="H91" s="5"/>
      <c r="I91" s="5"/>
      <c r="J91" s="5"/>
      <c r="K91" s="5"/>
      <c r="L91" s="5"/>
      <c r="M91" s="37"/>
      <c r="N91" s="5"/>
      <c r="O91" s="5"/>
      <c r="P91" s="5"/>
      <c r="Q91" s="5"/>
      <c r="R91" s="5"/>
      <c r="S91" s="5"/>
      <c r="T91" s="5"/>
      <c r="U91" s="5"/>
      <c r="V91" s="178" t="str">
        <f>+'Neg m Neg b'!B14</f>
        <v>Rg1 =</v>
      </c>
      <c r="W91" s="178"/>
      <c r="X91" s="218">
        <f>+'Neg m Neg b'!F14</f>
        <v>1</v>
      </c>
      <c r="Y91" s="218"/>
      <c r="Z91" s="5" t="str">
        <f>+'Neg m Neg b'!G14</f>
        <v>kΩ</v>
      </c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1:37" ht="15.75">
      <c r="A92" s="95" t="s">
        <v>8</v>
      </c>
      <c r="B92" s="99">
        <f>+'Neg m Neg b'!T7</f>
        <v>-0.1</v>
      </c>
      <c r="C92" s="101" t="s">
        <v>2</v>
      </c>
      <c r="D92" s="5"/>
      <c r="E92" s="5"/>
      <c r="F92" s="5"/>
      <c r="G92" s="5"/>
      <c r="H92" s="5"/>
      <c r="I92" s="5"/>
      <c r="J92" s="5"/>
      <c r="K92" s="5"/>
      <c r="L92" s="5"/>
      <c r="M92" s="37"/>
      <c r="N92" s="5"/>
      <c r="O92" s="5"/>
      <c r="P92" s="5"/>
      <c r="Q92" s="5"/>
      <c r="R92" s="5"/>
      <c r="S92" s="5"/>
      <c r="T92" s="5"/>
      <c r="U92" s="5"/>
      <c r="V92" s="178" t="str">
        <f>+'Neg m Neg b'!B15</f>
        <v>Rg2 =</v>
      </c>
      <c r="W92" s="178"/>
      <c r="X92" s="218">
        <f>+'Neg m Neg b'!F15</f>
        <v>160</v>
      </c>
      <c r="Y92" s="218"/>
      <c r="Z92" s="5" t="str">
        <f>+'Neg m Neg b'!G15</f>
        <v>kΩ</v>
      </c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ht="15.75">
      <c r="A93" s="66" t="s">
        <v>10</v>
      </c>
      <c r="B93" s="100">
        <f>+'Neg m Neg b'!T8</f>
        <v>-0.3</v>
      </c>
      <c r="C93" s="102" t="s">
        <v>2</v>
      </c>
      <c r="D93" s="5"/>
      <c r="E93" s="5"/>
      <c r="F93" s="5"/>
      <c r="G93" s="5"/>
      <c r="H93" s="5"/>
      <c r="I93" s="5"/>
      <c r="J93" s="5"/>
      <c r="K93" s="5"/>
      <c r="L93" s="5"/>
      <c r="M93" s="37"/>
      <c r="N93" s="5"/>
      <c r="O93" s="5"/>
      <c r="P93" s="5"/>
      <c r="Q93" s="5"/>
      <c r="R93" s="5"/>
      <c r="S93" s="5"/>
      <c r="T93" s="5"/>
      <c r="U93" s="5"/>
      <c r="V93" s="178" t="str">
        <f>+'Neg m Neg b'!B23</f>
        <v>fo =</v>
      </c>
      <c r="W93" s="178"/>
      <c r="X93" s="220">
        <f>+'Neg m Neg b'!E23</f>
        <v>16.931376924669717</v>
      </c>
      <c r="Y93" s="220"/>
      <c r="Z93" s="5" t="str">
        <f>+'Neg m Neg b'!F23</f>
        <v>kHz</v>
      </c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1:37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37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37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1:37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37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37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1:37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37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37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1:3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37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1:37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37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1:37" ht="18.75">
      <c r="A99" s="16" t="s">
        <v>37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37"/>
      <c r="Z99" s="5"/>
      <c r="AA99" s="5"/>
      <c r="AB99" s="5"/>
      <c r="AC99" s="5"/>
      <c r="AD99" s="5"/>
      <c r="AE99" s="136"/>
      <c r="AF99" s="136"/>
      <c r="AG99" s="136"/>
      <c r="AH99" s="136"/>
      <c r="AI99" s="136"/>
      <c r="AJ99" s="188" t="s">
        <v>190</v>
      </c>
      <c r="AK99" s="188"/>
    </row>
    <row r="100" spans="1:37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</sheetData>
  <mergeCells count="74">
    <mergeCell ref="AJ99:AK99"/>
    <mergeCell ref="V93:W93"/>
    <mergeCell ref="X93:Y93"/>
    <mergeCell ref="X69:Y69"/>
    <mergeCell ref="V74:W74"/>
    <mergeCell ref="X74:Y74"/>
    <mergeCell ref="V79:W79"/>
    <mergeCell ref="X79:Y79"/>
    <mergeCell ref="V73:W73"/>
    <mergeCell ref="X73:Y73"/>
    <mergeCell ref="V80:W80"/>
    <mergeCell ref="X80:Y80"/>
    <mergeCell ref="V83:W83"/>
    <mergeCell ref="X83:Y83"/>
    <mergeCell ref="V90:W90"/>
    <mergeCell ref="X90:Y90"/>
    <mergeCell ref="V71:W71"/>
    <mergeCell ref="X71:Y71"/>
    <mergeCell ref="V72:W72"/>
    <mergeCell ref="X72:Y72"/>
    <mergeCell ref="V64:W64"/>
    <mergeCell ref="X64:Y64"/>
    <mergeCell ref="V65:W65"/>
    <mergeCell ref="X65:Y65"/>
    <mergeCell ref="V69:W69"/>
    <mergeCell ref="V70:W70"/>
    <mergeCell ref="X70:Y70"/>
    <mergeCell ref="O24:AJ24"/>
    <mergeCell ref="V62:W62"/>
    <mergeCell ref="X62:Y62"/>
    <mergeCell ref="V63:W63"/>
    <mergeCell ref="X63:Y63"/>
    <mergeCell ref="N57:AJ57"/>
    <mergeCell ref="V61:W61"/>
    <mergeCell ref="X61:Y61"/>
    <mergeCell ref="V92:W92"/>
    <mergeCell ref="X92:Y92"/>
    <mergeCell ref="V81:W81"/>
    <mergeCell ref="X81:Y81"/>
    <mergeCell ref="X82:Y82"/>
    <mergeCell ref="V91:W91"/>
    <mergeCell ref="X91:Y91"/>
    <mergeCell ref="V82:W82"/>
    <mergeCell ref="A57:K57"/>
    <mergeCell ref="E47:F47"/>
    <mergeCell ref="A1:N1"/>
    <mergeCell ref="A14:N14"/>
    <mergeCell ref="A13:B13"/>
    <mergeCell ref="A2:N2"/>
    <mergeCell ref="H8:I9"/>
    <mergeCell ref="AK12:AK13"/>
    <mergeCell ref="Y1:Z1"/>
    <mergeCell ref="AC1:AF1"/>
    <mergeCell ref="E7:H7"/>
    <mergeCell ref="C8:F8"/>
    <mergeCell ref="E9:F9"/>
    <mergeCell ref="E4:F4"/>
    <mergeCell ref="A7:C7"/>
    <mergeCell ref="J8:N8"/>
    <mergeCell ref="J9:N9"/>
    <mergeCell ref="J10:N10"/>
    <mergeCell ref="J12:N12"/>
    <mergeCell ref="A59:C59"/>
    <mergeCell ref="A60:C60"/>
    <mergeCell ref="A68:C68"/>
    <mergeCell ref="A69:C69"/>
    <mergeCell ref="A77:C77"/>
    <mergeCell ref="J62:K62"/>
    <mergeCell ref="J71:K71"/>
    <mergeCell ref="J80:K80"/>
    <mergeCell ref="J89:K89"/>
    <mergeCell ref="A78:C78"/>
    <mergeCell ref="A86:C86"/>
    <mergeCell ref="A87:C87"/>
  </mergeCells>
  <hyperlinks>
    <hyperlink ref="H3" r:id="rId1"/>
    <hyperlink ref="J10" r:id="rId2"/>
    <hyperlink ref="R33" r:id="rId3"/>
  </hyperlinks>
  <pageMargins left="0.7" right="0.7" top="0.75" bottom="0.75" header="0.3" footer="0.3"/>
  <pageSetup paperSize="9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Pos m Pos b</vt:lpstr>
      <vt:lpstr>Pos m Neg b</vt:lpstr>
      <vt:lpstr>Neg m Pos b</vt:lpstr>
      <vt:lpstr>Neg m Neg b</vt:lpstr>
      <vt:lpstr>Manual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2014-01-19T08:59:26Z</dcterms:created>
  <dcterms:modified xsi:type="dcterms:W3CDTF">2018-10-24T19:27:34Z</dcterms:modified>
</cp:coreProperties>
</file>